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7232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54" i="1" l="1"/>
  <c r="Q154" i="1"/>
  <c r="L154" i="1"/>
  <c r="J154" i="1"/>
  <c r="I154" i="1"/>
  <c r="AI117" i="1" l="1"/>
  <c r="AA60" i="1" l="1"/>
  <c r="AA59" i="1"/>
  <c r="AG117" i="1" s="1"/>
  <c r="U12" i="1"/>
  <c r="U11" i="1"/>
  <c r="U10" i="1"/>
  <c r="E112" i="1"/>
  <c r="I118" i="1"/>
  <c r="I117" i="1"/>
  <c r="AM61" i="1"/>
  <c r="AO61" i="1" s="1"/>
  <c r="AK61" i="1"/>
  <c r="AH112" i="1"/>
  <c r="AN46" i="1" s="1"/>
  <c r="F117" i="1" l="1"/>
  <c r="U46" i="1"/>
  <c r="U48" i="1" s="1"/>
  <c r="J117" i="1"/>
  <c r="AP61" i="1"/>
  <c r="W27" i="1"/>
  <c r="W7" i="1"/>
  <c r="AC44" i="1"/>
  <c r="AC42" i="1"/>
  <c r="AC41" i="1"/>
  <c r="W41" i="1" s="1"/>
  <c r="AC40" i="1"/>
  <c r="W40" i="1" s="1"/>
  <c r="AC39" i="1"/>
  <c r="AC38" i="1"/>
  <c r="AC36" i="1"/>
  <c r="AC35" i="1"/>
  <c r="AC34" i="1"/>
  <c r="AC33" i="1"/>
  <c r="AC32" i="1"/>
  <c r="AC31" i="1"/>
  <c r="AC30" i="1"/>
  <c r="AC29" i="1"/>
  <c r="W29" i="1" s="1"/>
  <c r="AC25" i="1"/>
  <c r="W25" i="1" s="1"/>
  <c r="AC24" i="1"/>
  <c r="W24" i="1" s="1"/>
  <c r="AC23" i="1"/>
  <c r="W23" i="1" s="1"/>
  <c r="AC22" i="1"/>
  <c r="W22" i="1" s="1"/>
  <c r="AC21" i="1"/>
  <c r="W21" i="1" s="1"/>
  <c r="AC20" i="1"/>
  <c r="W20" i="1" s="1"/>
  <c r="AC19" i="1"/>
  <c r="W19" i="1" s="1"/>
  <c r="AC18" i="1"/>
  <c r="W18" i="1" s="1"/>
  <c r="AC17" i="1"/>
  <c r="AC16" i="1"/>
  <c r="AC14" i="1"/>
  <c r="W14" i="1" s="1"/>
  <c r="AC13" i="1"/>
  <c r="W13" i="1" s="1"/>
  <c r="AC12" i="1"/>
  <c r="AC11" i="1"/>
  <c r="AC10" i="1"/>
  <c r="W10" i="1" s="1"/>
  <c r="G117" i="1" l="1"/>
  <c r="F118" i="1"/>
  <c r="J118" i="1"/>
  <c r="AE59" i="1"/>
  <c r="P117" i="1"/>
  <c r="G118" i="1" l="1"/>
  <c r="N117" i="1"/>
  <c r="M117" i="1" l="1"/>
  <c r="AK9" i="1"/>
  <c r="AK8" i="1"/>
  <c r="AK46" i="1" l="1"/>
  <c r="AL46" i="1" s="1"/>
  <c r="L117" i="1"/>
  <c r="AH117" i="1"/>
  <c r="K117" i="1"/>
  <c r="AH1" i="1"/>
  <c r="AK117" i="1" s="1"/>
  <c r="BB6" i="1"/>
  <c r="BA6" i="1"/>
  <c r="AZ6" i="1"/>
  <c r="AY6" i="1"/>
  <c r="AX6" i="1"/>
  <c r="AW6" i="1"/>
  <c r="AV6" i="1"/>
  <c r="AU6" i="1"/>
  <c r="AT6" i="1"/>
  <c r="AS6" i="1"/>
  <c r="AS15" i="1"/>
  <c r="AO10" i="1"/>
  <c r="AQ10" i="1"/>
  <c r="AQ11" i="1" s="1"/>
  <c r="AT15" i="1" l="1"/>
  <c r="AK118" i="1"/>
  <c r="AQ12" i="1"/>
  <c r="X118" i="1"/>
  <c r="Y117" i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X119" i="1" l="1"/>
  <c r="AI118" i="1"/>
  <c r="AI119" i="1" s="1"/>
  <c r="AI120" i="1" s="1"/>
  <c r="I120" i="1"/>
  <c r="J120" i="1"/>
  <c r="I119" i="1"/>
  <c r="J119" i="1"/>
  <c r="X120" i="1"/>
  <c r="L119" i="1"/>
  <c r="L118" i="1"/>
  <c r="AK119" i="1"/>
  <c r="AK120" i="1" s="1"/>
  <c r="AK121" i="1" s="1"/>
  <c r="AK122" i="1" s="1"/>
  <c r="AK123" i="1" s="1"/>
  <c r="AK124" i="1" s="1"/>
  <c r="AK125" i="1" s="1"/>
  <c r="AK126" i="1" s="1"/>
  <c r="AK127" i="1" s="1"/>
  <c r="AK128" i="1" s="1"/>
  <c r="AK129" i="1" s="1"/>
  <c r="AK130" i="1" s="1"/>
  <c r="AK131" i="1" s="1"/>
  <c r="AK132" i="1" s="1"/>
  <c r="AK133" i="1" s="1"/>
  <c r="AK134" i="1" s="1"/>
  <c r="AK135" i="1" s="1"/>
  <c r="AK136" i="1" s="1"/>
  <c r="AK137" i="1" s="1"/>
  <c r="AK138" i="1" s="1"/>
  <c r="AQ13" i="1"/>
  <c r="AG3" i="1"/>
  <c r="AG59" i="1" s="1"/>
  <c r="AA117" i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Z117" i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AB117" i="1"/>
  <c r="AG51" i="1"/>
  <c r="AG50" i="1"/>
  <c r="AT7" i="1"/>
  <c r="AU7" i="1" s="1"/>
  <c r="AV7" i="1" s="1"/>
  <c r="AW7" i="1" s="1"/>
  <c r="AX7" i="1" s="1"/>
  <c r="AY7" i="1" s="1"/>
  <c r="AZ7" i="1" s="1"/>
  <c r="BA7" i="1" s="1"/>
  <c r="BB7" i="1" s="1"/>
  <c r="AO11" i="1"/>
  <c r="AM10" i="1"/>
  <c r="AM11" i="1" s="1"/>
  <c r="AM12" i="1" s="1"/>
  <c r="AM13" i="1" s="1"/>
  <c r="AM14" i="1" s="1"/>
  <c r="AM15" i="1" s="1"/>
  <c r="AM16" i="1" s="1"/>
  <c r="AM17" i="1" s="1"/>
  <c r="AM18" i="1" s="1"/>
  <c r="AN10" i="1"/>
  <c r="AN11" i="1" s="1"/>
  <c r="AN12" i="1" s="1"/>
  <c r="AN13" i="1" s="1"/>
  <c r="AN14" i="1" s="1"/>
  <c r="AN15" i="1" s="1"/>
  <c r="AN16" i="1" s="1"/>
  <c r="AN17" i="1" s="1"/>
  <c r="AN18" i="1" s="1"/>
  <c r="AG49" i="1"/>
  <c r="AI49" i="1" s="1"/>
  <c r="AG42" i="1"/>
  <c r="AG41" i="1"/>
  <c r="AG40" i="1"/>
  <c r="AG39" i="1"/>
  <c r="AG38" i="1"/>
  <c r="AG36" i="1"/>
  <c r="AG35" i="1"/>
  <c r="AG34" i="1"/>
  <c r="AG33" i="1"/>
  <c r="AG32" i="1"/>
  <c r="AG31" i="1"/>
  <c r="AG30" i="1"/>
  <c r="AG29" i="1"/>
  <c r="AG28" i="1"/>
  <c r="AG26" i="1"/>
  <c r="AG25" i="1"/>
  <c r="AG24" i="1"/>
  <c r="AG23" i="1"/>
  <c r="AG22" i="1"/>
  <c r="AG21" i="1"/>
  <c r="AG20" i="1"/>
  <c r="AG19" i="1"/>
  <c r="AG18" i="1"/>
  <c r="AG17" i="1"/>
  <c r="AG16" i="1"/>
  <c r="AG14" i="1"/>
  <c r="AG13" i="1"/>
  <c r="AG12" i="1"/>
  <c r="AG11" i="1"/>
  <c r="AG10" i="1"/>
  <c r="F119" i="1" l="1"/>
  <c r="I121" i="1"/>
  <c r="J121" i="1"/>
  <c r="AO12" i="1"/>
  <c r="AU15" i="1"/>
  <c r="X121" i="1"/>
  <c r="L120" i="1"/>
  <c r="AF117" i="1"/>
  <c r="AK139" i="1"/>
  <c r="AK140" i="1" s="1"/>
  <c r="AK141" i="1" s="1"/>
  <c r="AK142" i="1" s="1"/>
  <c r="AK143" i="1" s="1"/>
  <c r="AK144" i="1" s="1"/>
  <c r="AK145" i="1" s="1"/>
  <c r="AK146" i="1" s="1"/>
  <c r="AK147" i="1" s="1"/>
  <c r="AK148" i="1" s="1"/>
  <c r="AK149" i="1" s="1"/>
  <c r="AK150" i="1" s="1"/>
  <c r="AK151" i="1" s="1"/>
  <c r="AK152" i="1" s="1"/>
  <c r="AK153" i="1" s="1"/>
  <c r="U117" i="1"/>
  <c r="AD117" i="1"/>
  <c r="AE117" i="1"/>
  <c r="AQ14" i="1"/>
  <c r="AG118" i="1"/>
  <c r="AB118" i="1"/>
  <c r="AI59" i="1"/>
  <c r="AI42" i="1"/>
  <c r="AI41" i="1"/>
  <c r="AI40" i="1"/>
  <c r="AI39" i="1"/>
  <c r="AI38" i="1"/>
  <c r="AI36" i="1"/>
  <c r="AI35" i="1"/>
  <c r="AI34" i="1"/>
  <c r="AI33" i="1"/>
  <c r="AI32" i="1"/>
  <c r="AI31" i="1"/>
  <c r="AI30" i="1"/>
  <c r="AI29" i="1"/>
  <c r="AI28" i="1"/>
  <c r="AA37" i="1"/>
  <c r="Z91" i="1"/>
  <c r="AI3" i="1"/>
  <c r="AI2" i="1"/>
  <c r="AC61" i="1"/>
  <c r="F120" i="1" l="1"/>
  <c r="F121" i="1" s="1"/>
  <c r="G119" i="1"/>
  <c r="I122" i="1"/>
  <c r="J122" i="1"/>
  <c r="X122" i="1"/>
  <c r="L121" i="1"/>
  <c r="AI121" i="1"/>
  <c r="AI122" i="1" s="1"/>
  <c r="AG37" i="1"/>
  <c r="AI37" i="1" s="1"/>
  <c r="AC37" i="1"/>
  <c r="W37" i="1" s="1"/>
  <c r="AB42" i="1"/>
  <c r="AO13" i="1"/>
  <c r="AV15" i="1"/>
  <c r="AF118" i="1"/>
  <c r="AQ15" i="1"/>
  <c r="AG119" i="1"/>
  <c r="AG120" i="1" s="1"/>
  <c r="AE118" i="1"/>
  <c r="AD118" i="1"/>
  <c r="AB119" i="1"/>
  <c r="AI50" i="1"/>
  <c r="G121" i="1" l="1"/>
  <c r="G120" i="1"/>
  <c r="I123" i="1"/>
  <c r="J123" i="1"/>
  <c r="F122" i="1"/>
  <c r="X123" i="1"/>
  <c r="L122" i="1"/>
  <c r="AO14" i="1"/>
  <c r="AW15" i="1"/>
  <c r="AQ16" i="1"/>
  <c r="AE119" i="1"/>
  <c r="AD119" i="1"/>
  <c r="AB120" i="1"/>
  <c r="AE33" i="1"/>
  <c r="AE38" i="1"/>
  <c r="AE23" i="1"/>
  <c r="AI23" i="1" s="1"/>
  <c r="AA15" i="1"/>
  <c r="AE22" i="1"/>
  <c r="AI22" i="1" s="1"/>
  <c r="AE21" i="1"/>
  <c r="AI21" i="1" s="1"/>
  <c r="AE24" i="1"/>
  <c r="AI24" i="1" s="1"/>
  <c r="AE19" i="1"/>
  <c r="AI19" i="1" s="1"/>
  <c r="G122" i="1" l="1"/>
  <c r="F123" i="1"/>
  <c r="I124" i="1"/>
  <c r="J124" i="1"/>
  <c r="X124" i="1"/>
  <c r="L123" i="1"/>
  <c r="AO15" i="1"/>
  <c r="AX15" i="1"/>
  <c r="AX16" i="1" s="1"/>
  <c r="AI123" i="1"/>
  <c r="AG15" i="1"/>
  <c r="AC15" i="1"/>
  <c r="W15" i="1" s="1"/>
  <c r="AQ17" i="1"/>
  <c r="AG121" i="1"/>
  <c r="AE120" i="1"/>
  <c r="AB121" i="1"/>
  <c r="AD120" i="1"/>
  <c r="AE44" i="1"/>
  <c r="AG44" i="1" s="1"/>
  <c r="AI44" i="1" s="1"/>
  <c r="AC26" i="1"/>
  <c r="AE25" i="1"/>
  <c r="AI25" i="1" s="1"/>
  <c r="AE20" i="1"/>
  <c r="AI20" i="1" s="1"/>
  <c r="AE18" i="1"/>
  <c r="AI18" i="1" s="1"/>
  <c r="AE17" i="1"/>
  <c r="AI17" i="1" s="1"/>
  <c r="G123" i="1" l="1"/>
  <c r="F124" i="1"/>
  <c r="I125" i="1"/>
  <c r="J125" i="1"/>
  <c r="X125" i="1"/>
  <c r="L124" i="1"/>
  <c r="AQ18" i="1"/>
  <c r="AO16" i="1"/>
  <c r="AY15" i="1"/>
  <c r="AI124" i="1"/>
  <c r="AE26" i="1"/>
  <c r="AI26" i="1" s="1"/>
  <c r="W26" i="1"/>
  <c r="AG122" i="1"/>
  <c r="AE121" i="1"/>
  <c r="AD121" i="1"/>
  <c r="AB122" i="1"/>
  <c r="AE16" i="1"/>
  <c r="AI16" i="1" s="1"/>
  <c r="AE15" i="1"/>
  <c r="AI15" i="1" s="1"/>
  <c r="AE14" i="1"/>
  <c r="AI14" i="1" s="1"/>
  <c r="AE12" i="1"/>
  <c r="AI12" i="1" s="1"/>
  <c r="AE10" i="1"/>
  <c r="AI10" i="1" s="1"/>
  <c r="AE42" i="1"/>
  <c r="AE41" i="1"/>
  <c r="AE40" i="1"/>
  <c r="AE39" i="1"/>
  <c r="AE37" i="1"/>
  <c r="AE36" i="1"/>
  <c r="AE35" i="1"/>
  <c r="AE34" i="1"/>
  <c r="AE32" i="1"/>
  <c r="AE31" i="1"/>
  <c r="AE30" i="1"/>
  <c r="AE29" i="1"/>
  <c r="AE28" i="1"/>
  <c r="AC28" i="1"/>
  <c r="W28" i="1" s="1"/>
  <c r="AA8" i="1"/>
  <c r="AE61" i="1"/>
  <c r="AC60" i="1"/>
  <c r="AE60" i="1" s="1"/>
  <c r="AG60" i="1" s="1"/>
  <c r="AI60" i="1" s="1"/>
  <c r="AI51" i="1"/>
  <c r="AI54" i="1" s="1"/>
  <c r="AG54" i="1"/>
  <c r="AI4" i="1"/>
  <c r="AE54" i="1"/>
  <c r="AA65" i="1"/>
  <c r="AA69" i="1" s="1"/>
  <c r="AC54" i="1"/>
  <c r="AA54" i="1"/>
  <c r="AE4" i="1"/>
  <c r="AA9" i="1"/>
  <c r="AC9" i="1" s="1"/>
  <c r="W9" i="1" s="1"/>
  <c r="F125" i="1" l="1"/>
  <c r="G124" i="1"/>
  <c r="I126" i="1"/>
  <c r="J126" i="1"/>
  <c r="AO17" i="1"/>
  <c r="AZ16" i="1"/>
  <c r="AY16" i="1"/>
  <c r="X126" i="1"/>
  <c r="L125" i="1"/>
  <c r="AI125" i="1"/>
  <c r="AI126" i="1" s="1"/>
  <c r="AE13" i="1"/>
  <c r="AI13" i="1" s="1"/>
  <c r="AE11" i="1"/>
  <c r="AI11" i="1" s="1"/>
  <c r="AG123" i="1"/>
  <c r="AE122" i="1"/>
  <c r="AD122" i="1"/>
  <c r="AB123" i="1"/>
  <c r="AC8" i="1"/>
  <c r="AG8" i="1"/>
  <c r="AI8" i="1" s="1"/>
  <c r="AE9" i="1"/>
  <c r="AG9" i="1"/>
  <c r="AA98" i="1"/>
  <c r="AB54" i="1"/>
  <c r="AE98" i="1"/>
  <c r="AF54" i="1"/>
  <c r="AG98" i="1"/>
  <c r="AH54" i="1"/>
  <c r="AD54" i="1"/>
  <c r="AC98" i="1"/>
  <c r="AI98" i="1"/>
  <c r="AJ54" i="1"/>
  <c r="AB26" i="1"/>
  <c r="AH42" i="1"/>
  <c r="AF42" i="1"/>
  <c r="AJ42" i="1"/>
  <c r="AD42" i="1"/>
  <c r="AE65" i="1"/>
  <c r="AE69" i="1" s="1"/>
  <c r="AG61" i="1"/>
  <c r="AC65" i="1"/>
  <c r="AC69" i="1" s="1"/>
  <c r="AC81" i="1" s="1"/>
  <c r="F126" i="1" l="1"/>
  <c r="G125" i="1"/>
  <c r="I127" i="1"/>
  <c r="J127" i="1"/>
  <c r="AZ17" i="1"/>
  <c r="AO18" i="1"/>
  <c r="BB18" i="1" s="1"/>
  <c r="BB19" i="1" s="1"/>
  <c r="BA17" i="1"/>
  <c r="BA18" i="1" s="1"/>
  <c r="AE8" i="1"/>
  <c r="W8" i="1"/>
  <c r="X127" i="1"/>
  <c r="L126" i="1"/>
  <c r="AF26" i="1"/>
  <c r="AF123" i="1"/>
  <c r="AA81" i="1"/>
  <c r="AA43" i="1"/>
  <c r="AG124" i="1"/>
  <c r="AH26" i="1"/>
  <c r="AE123" i="1"/>
  <c r="AD123" i="1"/>
  <c r="AB124" i="1"/>
  <c r="AI9" i="1"/>
  <c r="AJ26" i="1" s="1"/>
  <c r="AD26" i="1"/>
  <c r="AB69" i="1"/>
  <c r="AE43" i="1"/>
  <c r="AE46" i="1" s="1"/>
  <c r="AE81" i="1"/>
  <c r="AI61" i="1"/>
  <c r="AI65" i="1" s="1"/>
  <c r="AI69" i="1" s="1"/>
  <c r="AF69" i="1"/>
  <c r="AG65" i="1"/>
  <c r="AG69" i="1" s="1"/>
  <c r="AG43" i="1" s="1"/>
  <c r="AD69" i="1"/>
  <c r="F127" i="1" l="1"/>
  <c r="G127" i="1" s="1"/>
  <c r="G126" i="1"/>
  <c r="AF119" i="1"/>
  <c r="I128" i="1"/>
  <c r="J128" i="1"/>
  <c r="AF122" i="1"/>
  <c r="AF120" i="1"/>
  <c r="X128" i="1"/>
  <c r="L127" i="1"/>
  <c r="AF121" i="1"/>
  <c r="W43" i="1"/>
  <c r="W46" i="1" s="1"/>
  <c r="X46" i="1" s="1"/>
  <c r="W47" i="1"/>
  <c r="AI127" i="1"/>
  <c r="AA46" i="1"/>
  <c r="AB46" i="1" s="1"/>
  <c r="AC43" i="1"/>
  <c r="AF124" i="1"/>
  <c r="AG125" i="1"/>
  <c r="AE124" i="1"/>
  <c r="AD124" i="1"/>
  <c r="AB125" i="1"/>
  <c r="AI81" i="1"/>
  <c r="AI43" i="1"/>
  <c r="AI46" i="1" s="1"/>
  <c r="AI77" i="1" s="1"/>
  <c r="AE85" i="1"/>
  <c r="AE87" i="1"/>
  <c r="AE100" i="1" s="1"/>
  <c r="AG81" i="1"/>
  <c r="AJ69" i="1"/>
  <c r="AE56" i="1"/>
  <c r="AE73" i="1" s="1"/>
  <c r="AF73" i="1" s="1"/>
  <c r="AE77" i="1"/>
  <c r="AF46" i="1"/>
  <c r="AG46" i="1"/>
  <c r="AG56" i="1" s="1"/>
  <c r="AH69" i="1"/>
  <c r="F128" i="1" l="1"/>
  <c r="G128" i="1" s="1"/>
  <c r="I129" i="1"/>
  <c r="J129" i="1"/>
  <c r="X129" i="1"/>
  <c r="L128" i="1"/>
  <c r="AI128" i="1"/>
  <c r="AI129" i="1" s="1"/>
  <c r="AC46" i="1"/>
  <c r="AD46" i="1" s="1"/>
  <c r="AF125" i="1"/>
  <c r="AG126" i="1"/>
  <c r="AE125" i="1"/>
  <c r="AD125" i="1"/>
  <c r="AB126" i="1"/>
  <c r="AJ46" i="1"/>
  <c r="AI87" i="1"/>
  <c r="AI100" i="1" s="1"/>
  <c r="AI85" i="1"/>
  <c r="AG87" i="1"/>
  <c r="AG100" i="1" s="1"/>
  <c r="AG85" i="1"/>
  <c r="AI56" i="1"/>
  <c r="AI73" i="1" s="1"/>
  <c r="AJ73" i="1" s="1"/>
  <c r="AE79" i="1"/>
  <c r="AF79" i="1" s="1"/>
  <c r="AH46" i="1"/>
  <c r="AG77" i="1"/>
  <c r="AG73" i="1"/>
  <c r="AH73" i="1" s="1"/>
  <c r="F129" i="1" l="1"/>
  <c r="I130" i="1"/>
  <c r="J130" i="1"/>
  <c r="X130" i="1"/>
  <c r="L129" i="1"/>
  <c r="AC77" i="1"/>
  <c r="AC87" i="1"/>
  <c r="AC100" i="1" s="1"/>
  <c r="AC56" i="1"/>
  <c r="AC73" i="1" s="1"/>
  <c r="AD73" i="1" s="1"/>
  <c r="AC85" i="1"/>
  <c r="AF126" i="1"/>
  <c r="AG127" i="1"/>
  <c r="AE126" i="1"/>
  <c r="AD126" i="1"/>
  <c r="AB127" i="1"/>
  <c r="AI79" i="1"/>
  <c r="AJ79" i="1" s="1"/>
  <c r="AI93" i="1" s="1"/>
  <c r="AE93" i="1"/>
  <c r="AE91" i="1"/>
  <c r="AG79" i="1"/>
  <c r="AH79" i="1" s="1"/>
  <c r="G129" i="1" l="1"/>
  <c r="F130" i="1"/>
  <c r="I131" i="1"/>
  <c r="J131" i="1"/>
  <c r="U118" i="1"/>
  <c r="X131" i="1"/>
  <c r="L130" i="1"/>
  <c r="AI130" i="1"/>
  <c r="AC79" i="1"/>
  <c r="AD79" i="1" s="1"/>
  <c r="AC93" i="1" s="1"/>
  <c r="AF127" i="1"/>
  <c r="AG128" i="1"/>
  <c r="AE127" i="1"/>
  <c r="AD127" i="1"/>
  <c r="AB128" i="1"/>
  <c r="AI91" i="1"/>
  <c r="AI95" i="1" s="1"/>
  <c r="AI102" i="1" s="1"/>
  <c r="AI104" i="1" s="1"/>
  <c r="AE95" i="1"/>
  <c r="AE102" i="1" s="1"/>
  <c r="AE104" i="1" s="1"/>
  <c r="AA87" i="1"/>
  <c r="AA100" i="1" s="1"/>
  <c r="AA85" i="1"/>
  <c r="AG91" i="1"/>
  <c r="AG93" i="1"/>
  <c r="AA56" i="1"/>
  <c r="AA73" i="1" s="1"/>
  <c r="AB73" i="1" s="1"/>
  <c r="AA77" i="1"/>
  <c r="F131" i="1" l="1"/>
  <c r="G131" i="1" s="1"/>
  <c r="G130" i="1"/>
  <c r="I132" i="1"/>
  <c r="J132" i="1"/>
  <c r="AI131" i="1"/>
  <c r="X132" i="1"/>
  <c r="L131" i="1"/>
  <c r="AF128" i="1"/>
  <c r="AC91" i="1"/>
  <c r="AC95" i="1" s="1"/>
  <c r="AC102" i="1" s="1"/>
  <c r="AC104" i="1" s="1"/>
  <c r="AG129" i="1"/>
  <c r="AE128" i="1"/>
  <c r="AD128" i="1"/>
  <c r="AB129" i="1"/>
  <c r="AA79" i="1"/>
  <c r="AB79" i="1" s="1"/>
  <c r="AA93" i="1" s="1"/>
  <c r="AG95" i="1"/>
  <c r="AG102" i="1" s="1"/>
  <c r="AG104" i="1" s="1"/>
  <c r="F132" i="1" l="1"/>
  <c r="I133" i="1"/>
  <c r="J133" i="1"/>
  <c r="AI132" i="1"/>
  <c r="X133" i="1"/>
  <c r="L132" i="1"/>
  <c r="AF129" i="1"/>
  <c r="AG130" i="1"/>
  <c r="AE129" i="1"/>
  <c r="AD129" i="1"/>
  <c r="AB130" i="1"/>
  <c r="AA91" i="1"/>
  <c r="AA95" i="1" s="1"/>
  <c r="AA102" i="1" s="1"/>
  <c r="AA104" i="1" s="1"/>
  <c r="G132" i="1" l="1"/>
  <c r="F133" i="1"/>
  <c r="AI133" i="1"/>
  <c r="I134" i="1"/>
  <c r="J134" i="1"/>
  <c r="AF130" i="1"/>
  <c r="X134" i="1"/>
  <c r="L133" i="1"/>
  <c r="AG131" i="1"/>
  <c r="AE130" i="1"/>
  <c r="AD130" i="1"/>
  <c r="AB131" i="1"/>
  <c r="F134" i="1" l="1"/>
  <c r="G133" i="1"/>
  <c r="AI134" i="1"/>
  <c r="I135" i="1"/>
  <c r="J135" i="1"/>
  <c r="AF131" i="1"/>
  <c r="X135" i="1"/>
  <c r="L134" i="1"/>
  <c r="AG132" i="1"/>
  <c r="AE131" i="1"/>
  <c r="AD131" i="1"/>
  <c r="AB132" i="1"/>
  <c r="G134" i="1" l="1"/>
  <c r="F135" i="1"/>
  <c r="I136" i="1"/>
  <c r="J136" i="1"/>
  <c r="AF132" i="1"/>
  <c r="X136" i="1"/>
  <c r="L135" i="1"/>
  <c r="AI135" i="1"/>
  <c r="AG133" i="1"/>
  <c r="AE132" i="1"/>
  <c r="AD132" i="1"/>
  <c r="AB133" i="1"/>
  <c r="F136" i="1" l="1"/>
  <c r="G135" i="1"/>
  <c r="I137" i="1"/>
  <c r="J137" i="1"/>
  <c r="AI136" i="1"/>
  <c r="AF133" i="1"/>
  <c r="X137" i="1"/>
  <c r="L136" i="1"/>
  <c r="AG134" i="1"/>
  <c r="AE133" i="1"/>
  <c r="AD133" i="1"/>
  <c r="AB134" i="1"/>
  <c r="F137" i="1" l="1"/>
  <c r="G136" i="1"/>
  <c r="I138" i="1"/>
  <c r="J138" i="1"/>
  <c r="AI137" i="1"/>
  <c r="AF134" i="1"/>
  <c r="X138" i="1"/>
  <c r="L137" i="1"/>
  <c r="AG135" i="1"/>
  <c r="AE134" i="1"/>
  <c r="AD134" i="1"/>
  <c r="AB135" i="1"/>
  <c r="G137" i="1" l="1"/>
  <c r="F138" i="1"/>
  <c r="AI138" i="1"/>
  <c r="I139" i="1"/>
  <c r="J139" i="1"/>
  <c r="X139" i="1"/>
  <c r="L138" i="1"/>
  <c r="AF135" i="1"/>
  <c r="AD135" i="1"/>
  <c r="AG136" i="1"/>
  <c r="AE135" i="1"/>
  <c r="AB136" i="1"/>
  <c r="G138" i="1" l="1"/>
  <c r="F139" i="1"/>
  <c r="I140" i="1"/>
  <c r="J140" i="1"/>
  <c r="X140" i="1"/>
  <c r="L139" i="1"/>
  <c r="AF136" i="1"/>
  <c r="AI139" i="1"/>
  <c r="AG137" i="1"/>
  <c r="AE136" i="1"/>
  <c r="AD136" i="1"/>
  <c r="AB137" i="1"/>
  <c r="G139" i="1" l="1"/>
  <c r="F140" i="1"/>
  <c r="I141" i="1"/>
  <c r="J141" i="1"/>
  <c r="AI140" i="1"/>
  <c r="AF137" i="1"/>
  <c r="X141" i="1"/>
  <c r="L140" i="1"/>
  <c r="AG138" i="1"/>
  <c r="AE137" i="1"/>
  <c r="AD137" i="1"/>
  <c r="AB138" i="1"/>
  <c r="G140" i="1" l="1"/>
  <c r="F141" i="1"/>
  <c r="AI141" i="1"/>
  <c r="AI142" i="1" s="1"/>
  <c r="I142" i="1"/>
  <c r="J142" i="1"/>
  <c r="AF138" i="1"/>
  <c r="X142" i="1"/>
  <c r="L141" i="1"/>
  <c r="AE138" i="1"/>
  <c r="AG139" i="1"/>
  <c r="AD138" i="1"/>
  <c r="AB139" i="1"/>
  <c r="G141" i="1" l="1"/>
  <c r="F142" i="1"/>
  <c r="I143" i="1"/>
  <c r="J143" i="1"/>
  <c r="AF139" i="1"/>
  <c r="X143" i="1"/>
  <c r="L142" i="1"/>
  <c r="AE139" i="1"/>
  <c r="AG140" i="1"/>
  <c r="AD139" i="1"/>
  <c r="AB140" i="1"/>
  <c r="G142" i="1" l="1"/>
  <c r="F143" i="1"/>
  <c r="I144" i="1"/>
  <c r="J144" i="1"/>
  <c r="AI143" i="1"/>
  <c r="AF140" i="1"/>
  <c r="X144" i="1"/>
  <c r="L143" i="1"/>
  <c r="AE140" i="1"/>
  <c r="AG141" i="1"/>
  <c r="AD140" i="1"/>
  <c r="AB141" i="1"/>
  <c r="G143" i="1" l="1"/>
  <c r="F144" i="1"/>
  <c r="I145" i="1"/>
  <c r="J145" i="1"/>
  <c r="AI144" i="1"/>
  <c r="AI145" i="1" s="1"/>
  <c r="AF141" i="1"/>
  <c r="X145" i="1"/>
  <c r="L144" i="1"/>
  <c r="AE141" i="1"/>
  <c r="AG142" i="1"/>
  <c r="AD141" i="1"/>
  <c r="AB142" i="1"/>
  <c r="G144" i="1" l="1"/>
  <c r="F145" i="1"/>
  <c r="I146" i="1"/>
  <c r="J146" i="1"/>
  <c r="AI146" i="1"/>
  <c r="X146" i="1"/>
  <c r="L145" i="1"/>
  <c r="AF142" i="1"/>
  <c r="AE142" i="1"/>
  <c r="AG143" i="1"/>
  <c r="AD142" i="1"/>
  <c r="AB143" i="1"/>
  <c r="G145" i="1" l="1"/>
  <c r="F146" i="1"/>
  <c r="I147" i="1"/>
  <c r="J147" i="1"/>
  <c r="X147" i="1"/>
  <c r="AI147" i="1" s="1"/>
  <c r="L146" i="1"/>
  <c r="AF143" i="1"/>
  <c r="AE143" i="1"/>
  <c r="AG144" i="1"/>
  <c r="AD143" i="1"/>
  <c r="AB144" i="1"/>
  <c r="G146" i="1" l="1"/>
  <c r="F147" i="1"/>
  <c r="I148" i="1"/>
  <c r="J148" i="1"/>
  <c r="AI148" i="1"/>
  <c r="AF144" i="1"/>
  <c r="X148" i="1"/>
  <c r="L147" i="1"/>
  <c r="AE144" i="1"/>
  <c r="AG145" i="1"/>
  <c r="AD144" i="1"/>
  <c r="AB145" i="1"/>
  <c r="AF145" i="1" s="1"/>
  <c r="G147" i="1" l="1"/>
  <c r="F148" i="1"/>
  <c r="I149" i="1"/>
  <c r="J149" i="1"/>
  <c r="X149" i="1"/>
  <c r="L148" i="1"/>
  <c r="AE145" i="1"/>
  <c r="AG146" i="1"/>
  <c r="AD145" i="1"/>
  <c r="AB146" i="1"/>
  <c r="AF146" i="1" s="1"/>
  <c r="G148" i="1" l="1"/>
  <c r="F149" i="1"/>
  <c r="I150" i="1"/>
  <c r="J150" i="1"/>
  <c r="AI149" i="1"/>
  <c r="AI150" i="1" s="1"/>
  <c r="X150" i="1"/>
  <c r="L149" i="1"/>
  <c r="AE146" i="1"/>
  <c r="AG147" i="1"/>
  <c r="AD146" i="1"/>
  <c r="AB147" i="1"/>
  <c r="AF147" i="1" s="1"/>
  <c r="G149" i="1" l="1"/>
  <c r="F150" i="1"/>
  <c r="I151" i="1"/>
  <c r="J151" i="1"/>
  <c r="X151" i="1"/>
  <c r="L150" i="1"/>
  <c r="AE147" i="1"/>
  <c r="AG148" i="1"/>
  <c r="AD147" i="1"/>
  <c r="AB148" i="1"/>
  <c r="AF148" i="1" s="1"/>
  <c r="G150" i="1" l="1"/>
  <c r="F151" i="1"/>
  <c r="I152" i="1"/>
  <c r="J152" i="1"/>
  <c r="X152" i="1"/>
  <c r="L151" i="1"/>
  <c r="AI151" i="1"/>
  <c r="AE148" i="1"/>
  <c r="AG149" i="1"/>
  <c r="AD148" i="1"/>
  <c r="AB149" i="1"/>
  <c r="AF149" i="1" s="1"/>
  <c r="G151" i="1" l="1"/>
  <c r="H148" i="1"/>
  <c r="AI152" i="1"/>
  <c r="F152" i="1"/>
  <c r="I153" i="1"/>
  <c r="J153" i="1"/>
  <c r="X153" i="1"/>
  <c r="L153" i="1" s="1"/>
  <c r="L152" i="1"/>
  <c r="AE149" i="1"/>
  <c r="AG150" i="1"/>
  <c r="AD149" i="1"/>
  <c r="AB150" i="1"/>
  <c r="AF150" i="1" s="1"/>
  <c r="E117" i="1" l="1"/>
  <c r="E118" i="1"/>
  <c r="H117" i="1"/>
  <c r="H118" i="1"/>
  <c r="H119" i="1"/>
  <c r="E119" i="1"/>
  <c r="H120" i="1"/>
  <c r="E121" i="1"/>
  <c r="H121" i="1"/>
  <c r="H122" i="1"/>
  <c r="H123" i="1"/>
  <c r="H124" i="1"/>
  <c r="H125" i="1"/>
  <c r="H126" i="1"/>
  <c r="H127" i="1"/>
  <c r="H128" i="1"/>
  <c r="H130" i="1"/>
  <c r="H131" i="1"/>
  <c r="H129" i="1"/>
  <c r="H133" i="1"/>
  <c r="H132" i="1"/>
  <c r="H134" i="1"/>
  <c r="H138" i="1"/>
  <c r="H135" i="1"/>
  <c r="H137" i="1"/>
  <c r="H136" i="1"/>
  <c r="H139" i="1"/>
  <c r="H140" i="1"/>
  <c r="H142" i="1"/>
  <c r="H141" i="1"/>
  <c r="H144" i="1"/>
  <c r="H143" i="1"/>
  <c r="H145" i="1"/>
  <c r="H150" i="1"/>
  <c r="H146" i="1"/>
  <c r="H147" i="1"/>
  <c r="H151" i="1"/>
  <c r="G152" i="1"/>
  <c r="H152" i="1"/>
  <c r="H149" i="1"/>
  <c r="E149" i="1"/>
  <c r="B149" i="1" s="1"/>
  <c r="I115" i="1"/>
  <c r="E146" i="1"/>
  <c r="E151" i="1"/>
  <c r="E150" i="1"/>
  <c r="E147" i="1"/>
  <c r="F153" i="1"/>
  <c r="H153" i="1" s="1"/>
  <c r="E120" i="1"/>
  <c r="E122" i="1"/>
  <c r="E123" i="1"/>
  <c r="E125" i="1"/>
  <c r="E127" i="1"/>
  <c r="E124" i="1"/>
  <c r="E126" i="1"/>
  <c r="E128" i="1"/>
  <c r="E129" i="1"/>
  <c r="E133" i="1"/>
  <c r="E130" i="1"/>
  <c r="E131" i="1"/>
  <c r="E134" i="1"/>
  <c r="E132" i="1"/>
  <c r="E137" i="1"/>
  <c r="E135" i="1"/>
  <c r="E136" i="1"/>
  <c r="E139" i="1"/>
  <c r="E138" i="1"/>
  <c r="E140" i="1"/>
  <c r="E141" i="1"/>
  <c r="E144" i="1"/>
  <c r="E142" i="1"/>
  <c r="E143" i="1"/>
  <c r="E145" i="1"/>
  <c r="E148" i="1"/>
  <c r="E152" i="1"/>
  <c r="AE150" i="1"/>
  <c r="AG151" i="1"/>
  <c r="AD150" i="1"/>
  <c r="AB151" i="1"/>
  <c r="AF151" i="1" s="1"/>
  <c r="D119" i="1" l="1"/>
  <c r="C119" i="1" s="1"/>
  <c r="A119" i="1" s="1"/>
  <c r="B119" i="1"/>
  <c r="AN119" i="1"/>
  <c r="D118" i="1"/>
  <c r="C118" i="1" s="1"/>
  <c r="A118" i="1" s="1"/>
  <c r="B118" i="1"/>
  <c r="AN118" i="1"/>
  <c r="B117" i="1"/>
  <c r="AN117" i="1"/>
  <c r="D117" i="1"/>
  <c r="C117" i="1" s="1"/>
  <c r="A117" i="1" s="1"/>
  <c r="AS117" i="1" s="1"/>
  <c r="V117" i="1" s="1"/>
  <c r="AM117" i="1"/>
  <c r="AN149" i="1"/>
  <c r="D149" i="1"/>
  <c r="C149" i="1" s="1"/>
  <c r="A149" i="1" s="1"/>
  <c r="E153" i="1"/>
  <c r="AN153" i="1" s="1"/>
  <c r="G153" i="1"/>
  <c r="F154" i="1"/>
  <c r="H154" i="1" s="1"/>
  <c r="B120" i="1"/>
  <c r="B153" i="1"/>
  <c r="D148" i="1"/>
  <c r="C148" i="1" s="1"/>
  <c r="A148" i="1" s="1"/>
  <c r="B148" i="1"/>
  <c r="AN148" i="1"/>
  <c r="AN144" i="1"/>
  <c r="D144" i="1"/>
  <c r="C144" i="1" s="1"/>
  <c r="A144" i="1" s="1"/>
  <c r="B144" i="1"/>
  <c r="AN139" i="1"/>
  <c r="B139" i="1"/>
  <c r="D139" i="1"/>
  <c r="C139" i="1" s="1"/>
  <c r="A139" i="1" s="1"/>
  <c r="AN132" i="1"/>
  <c r="D132" i="1"/>
  <c r="C132" i="1" s="1"/>
  <c r="A132" i="1" s="1"/>
  <c r="B132" i="1"/>
  <c r="D133" i="1"/>
  <c r="C133" i="1" s="1"/>
  <c r="A133" i="1" s="1"/>
  <c r="B133" i="1"/>
  <c r="AN133" i="1"/>
  <c r="B124" i="1"/>
  <c r="AN124" i="1"/>
  <c r="D124" i="1"/>
  <c r="C124" i="1" s="1"/>
  <c r="A124" i="1" s="1"/>
  <c r="B121" i="1"/>
  <c r="AN121" i="1"/>
  <c r="D121" i="1"/>
  <c r="C121" i="1" s="1"/>
  <c r="A121" i="1" s="1"/>
  <c r="D147" i="1"/>
  <c r="C147" i="1" s="1"/>
  <c r="A147" i="1" s="1"/>
  <c r="AN147" i="1"/>
  <c r="B147" i="1"/>
  <c r="AN146" i="1"/>
  <c r="B146" i="1"/>
  <c r="D146" i="1"/>
  <c r="C146" i="1" s="1"/>
  <c r="A146" i="1" s="1"/>
  <c r="D145" i="1"/>
  <c r="C145" i="1" s="1"/>
  <c r="A145" i="1" s="1"/>
  <c r="AN145" i="1"/>
  <c r="B145" i="1"/>
  <c r="D141" i="1"/>
  <c r="C141" i="1" s="1"/>
  <c r="A141" i="1" s="1"/>
  <c r="B141" i="1"/>
  <c r="AN141" i="1"/>
  <c r="D136" i="1"/>
  <c r="C136" i="1" s="1"/>
  <c r="A136" i="1" s="1"/>
  <c r="AN136" i="1"/>
  <c r="B136" i="1"/>
  <c r="D134" i="1"/>
  <c r="C134" i="1" s="1"/>
  <c r="A134" i="1" s="1"/>
  <c r="B134" i="1"/>
  <c r="AN134" i="1"/>
  <c r="D129" i="1"/>
  <c r="C129" i="1" s="1"/>
  <c r="A129" i="1" s="1"/>
  <c r="B129" i="1"/>
  <c r="AN129" i="1"/>
  <c r="D127" i="1"/>
  <c r="C127" i="1" s="1"/>
  <c r="A127" i="1" s="1"/>
  <c r="AN127" i="1"/>
  <c r="B127" i="1"/>
  <c r="D122" i="1"/>
  <c r="C122" i="1" s="1"/>
  <c r="A122" i="1" s="1"/>
  <c r="B122" i="1"/>
  <c r="AN122" i="1"/>
  <c r="AN150" i="1"/>
  <c r="B150" i="1"/>
  <c r="D150" i="1"/>
  <c r="C150" i="1" s="1"/>
  <c r="A150" i="1" s="1"/>
  <c r="AN143" i="1"/>
  <c r="B143" i="1"/>
  <c r="D143" i="1"/>
  <c r="C143" i="1" s="1"/>
  <c r="A143" i="1" s="1"/>
  <c r="B140" i="1"/>
  <c r="AN140" i="1"/>
  <c r="D140" i="1"/>
  <c r="C140" i="1" s="1"/>
  <c r="A140" i="1" s="1"/>
  <c r="AN135" i="1"/>
  <c r="D135" i="1"/>
  <c r="C135" i="1" s="1"/>
  <c r="A135" i="1" s="1"/>
  <c r="B135" i="1"/>
  <c r="AN131" i="1"/>
  <c r="B131" i="1"/>
  <c r="D131" i="1"/>
  <c r="C131" i="1" s="1"/>
  <c r="A131" i="1" s="1"/>
  <c r="AN128" i="1"/>
  <c r="B128" i="1"/>
  <c r="D128" i="1"/>
  <c r="C128" i="1" s="1"/>
  <c r="A128" i="1" s="1"/>
  <c r="B125" i="1"/>
  <c r="D125" i="1"/>
  <c r="C125" i="1" s="1"/>
  <c r="A125" i="1" s="1"/>
  <c r="AN125" i="1"/>
  <c r="AN120" i="1"/>
  <c r="D120" i="1"/>
  <c r="C120" i="1" s="1"/>
  <c r="A120" i="1" s="1"/>
  <c r="B151" i="1"/>
  <c r="D151" i="1"/>
  <c r="C151" i="1" s="1"/>
  <c r="A151" i="1" s="1"/>
  <c r="AN151" i="1"/>
  <c r="B152" i="1"/>
  <c r="D152" i="1"/>
  <c r="C152" i="1" s="1"/>
  <c r="A152" i="1" s="1"/>
  <c r="AN152" i="1"/>
  <c r="AN142" i="1"/>
  <c r="D142" i="1"/>
  <c r="C142" i="1" s="1"/>
  <c r="A142" i="1" s="1"/>
  <c r="B142" i="1"/>
  <c r="AN138" i="1"/>
  <c r="D138" i="1"/>
  <c r="C138" i="1" s="1"/>
  <c r="A138" i="1" s="1"/>
  <c r="B138" i="1"/>
  <c r="AN137" i="1"/>
  <c r="B137" i="1"/>
  <c r="D137" i="1"/>
  <c r="C137" i="1" s="1"/>
  <c r="A137" i="1" s="1"/>
  <c r="AN130" i="1"/>
  <c r="D130" i="1"/>
  <c r="C130" i="1" s="1"/>
  <c r="A130" i="1" s="1"/>
  <c r="B130" i="1"/>
  <c r="B126" i="1"/>
  <c r="D126" i="1"/>
  <c r="C126" i="1" s="1"/>
  <c r="A126" i="1" s="1"/>
  <c r="AN126" i="1"/>
  <c r="AN123" i="1"/>
  <c r="D123" i="1"/>
  <c r="C123" i="1" s="1"/>
  <c r="A123" i="1" s="1"/>
  <c r="B123" i="1"/>
  <c r="AE151" i="1"/>
  <c r="AG152" i="1"/>
  <c r="AD151" i="1"/>
  <c r="AB152" i="1"/>
  <c r="AF152" i="1" s="1"/>
  <c r="D153" i="1" l="1"/>
  <c r="C153" i="1" s="1"/>
  <c r="A153" i="1" s="1"/>
  <c r="E154" i="1"/>
  <c r="G154" i="1"/>
  <c r="AE152" i="1"/>
  <c r="AG153" i="1"/>
  <c r="AD152" i="1"/>
  <c r="AB153" i="1"/>
  <c r="AF153" i="1" s="1"/>
  <c r="D154" i="1" l="1"/>
  <c r="C154" i="1" s="1"/>
  <c r="A154" i="1" s="1"/>
  <c r="B154" i="1"/>
  <c r="AE153" i="1"/>
  <c r="AD153" i="1"/>
  <c r="U119" i="1" l="1"/>
  <c r="U120" i="1" l="1"/>
  <c r="U121" i="1" l="1"/>
  <c r="U122" i="1" l="1"/>
  <c r="AI153" i="1" l="1"/>
  <c r="AO117" i="1"/>
  <c r="AQ117" i="1" l="1"/>
  <c r="S117" i="1" s="1"/>
  <c r="R117" i="1" l="1"/>
  <c r="T117" i="1" s="1"/>
  <c r="Q117" i="1"/>
  <c r="AT117" i="1" s="1"/>
  <c r="AU117" i="1" s="1"/>
  <c r="AW117" i="1" s="1"/>
  <c r="AY117" i="1" s="1"/>
  <c r="AP117" i="1" l="1"/>
  <c r="O118" i="1"/>
  <c r="P118" i="1" s="1"/>
  <c r="N118" i="1" s="1"/>
  <c r="AV117" i="1"/>
  <c r="M118" i="1" l="1"/>
  <c r="AX117" i="1"/>
  <c r="AL117" i="1" s="1"/>
  <c r="AZ117" i="1" l="1"/>
  <c r="AH118" i="1"/>
  <c r="AM118" i="1" s="1"/>
  <c r="K118" i="1"/>
  <c r="AS118" i="1" s="1"/>
  <c r="AO118" i="1" l="1"/>
  <c r="V118" i="1"/>
  <c r="AQ118" i="1" l="1"/>
  <c r="S118" i="1" l="1"/>
  <c r="R118" i="1" l="1"/>
  <c r="T118" i="1" s="1"/>
  <c r="Q118" i="1" s="1"/>
  <c r="AT118" i="1" s="1"/>
  <c r="AU118" i="1" s="1"/>
  <c r="AW118" i="1" l="1"/>
  <c r="O119" i="1"/>
  <c r="P119" i="1" s="1"/>
  <c r="N119" i="1" s="1"/>
  <c r="AV118" i="1"/>
  <c r="AP118" i="1" l="1"/>
  <c r="AY118" i="1"/>
  <c r="AZ118" i="1" s="1"/>
  <c r="M119" i="1"/>
  <c r="AX118" i="1"/>
  <c r="AL118" i="1" s="1"/>
  <c r="AH119" i="1" l="1"/>
  <c r="AM119" i="1" s="1"/>
  <c r="K119" i="1"/>
  <c r="AS119" i="1" s="1"/>
  <c r="V119" i="1" l="1"/>
  <c r="AO119" i="1"/>
  <c r="AQ119" i="1" s="1"/>
  <c r="S119" i="1" l="1"/>
  <c r="R119" i="1" l="1"/>
  <c r="T119" i="1" s="1"/>
  <c r="Q119" i="1" s="1"/>
  <c r="AT119" i="1" s="1"/>
  <c r="AU119" i="1" s="1"/>
  <c r="AW119" i="1" l="1"/>
  <c r="AP119" i="1" s="1"/>
  <c r="O120" i="1"/>
  <c r="P120" i="1" s="1"/>
  <c r="N120" i="1" s="1"/>
  <c r="AV119" i="1"/>
  <c r="AY119" i="1" l="1"/>
  <c r="AZ119" i="1" s="1"/>
  <c r="M120" i="1"/>
  <c r="AX119" i="1"/>
  <c r="AL119" i="1" s="1"/>
  <c r="AH120" i="1" l="1"/>
  <c r="AM120" i="1" s="1"/>
  <c r="K120" i="1"/>
  <c r="AS120" i="1" s="1"/>
  <c r="V120" i="1" l="1"/>
  <c r="AO120" i="1" l="1"/>
  <c r="AQ120" i="1" l="1"/>
  <c r="S120" i="1" s="1"/>
  <c r="R120" i="1" s="1"/>
  <c r="T120" i="1" l="1"/>
  <c r="Q120" i="1" s="1"/>
  <c r="AT120" i="1" s="1"/>
  <c r="AU120" i="1" s="1"/>
  <c r="AW120" i="1" l="1"/>
  <c r="O121" i="1"/>
  <c r="P121" i="1" s="1"/>
  <c r="N121" i="1" s="1"/>
  <c r="AV120" i="1"/>
  <c r="AP120" i="1" l="1"/>
  <c r="AY120" i="1"/>
  <c r="AZ120" i="1" s="1"/>
  <c r="AN104" i="1"/>
  <c r="M121" i="1"/>
  <c r="AX120" i="1"/>
  <c r="AL120" i="1" s="1"/>
  <c r="K121" i="1" l="1"/>
  <c r="AS121" i="1" s="1"/>
  <c r="AH121" i="1"/>
  <c r="AM121" i="1" l="1"/>
  <c r="V121" i="1"/>
  <c r="AO121" i="1" l="1"/>
  <c r="AQ121" i="1" s="1"/>
  <c r="S121" i="1" l="1"/>
  <c r="R121" i="1" l="1"/>
  <c r="T121" i="1" s="1"/>
  <c r="Q121" i="1" s="1"/>
  <c r="AT121" i="1" s="1"/>
  <c r="AU121" i="1" s="1"/>
  <c r="AW121" i="1" l="1"/>
  <c r="AP121" i="1" s="1"/>
  <c r="O122" i="1"/>
  <c r="P122" i="1" s="1"/>
  <c r="N122" i="1" s="1"/>
  <c r="AV121" i="1"/>
  <c r="M122" i="1" l="1"/>
  <c r="AY121" i="1"/>
  <c r="AZ121" i="1" s="1"/>
  <c r="AX121" i="1"/>
  <c r="AL121" i="1" s="1"/>
  <c r="K122" i="1" l="1"/>
  <c r="AS122" i="1" s="1"/>
  <c r="AH122" i="1"/>
  <c r="AM122" i="1" s="1"/>
  <c r="V122" i="1" l="1"/>
  <c r="AO122" i="1"/>
  <c r="AQ122" i="1" l="1"/>
  <c r="S122" i="1" l="1"/>
  <c r="R122" i="1" l="1"/>
  <c r="T122" i="1" s="1"/>
  <c r="Q122" i="1" s="1"/>
  <c r="AT122" i="1" s="1"/>
  <c r="AU122" i="1" s="1"/>
  <c r="AW122" i="1" l="1"/>
  <c r="AP122" i="1" s="1"/>
  <c r="O123" i="1"/>
  <c r="P123" i="1" s="1"/>
  <c r="N123" i="1" s="1"/>
  <c r="AV122" i="1"/>
  <c r="M123" i="1" l="1"/>
  <c r="AX122" i="1"/>
  <c r="AL122" i="1" s="1"/>
  <c r="AY122" i="1"/>
  <c r="AZ122" i="1" s="1"/>
  <c r="K123" i="1" l="1"/>
  <c r="AS123" i="1" s="1"/>
  <c r="AH123" i="1"/>
  <c r="AM123" i="1" s="1"/>
  <c r="U123" i="1" s="1"/>
  <c r="AO123" i="1" l="1"/>
  <c r="V123" i="1"/>
  <c r="AQ123" i="1" l="1"/>
  <c r="S123" i="1" l="1"/>
  <c r="R123" i="1" l="1"/>
  <c r="T123" i="1" s="1"/>
  <c r="Q123" i="1" s="1"/>
  <c r="AT123" i="1" s="1"/>
  <c r="AU123" i="1" s="1"/>
  <c r="AW123" i="1" l="1"/>
  <c r="AP123" i="1" s="1"/>
  <c r="O124" i="1"/>
  <c r="P124" i="1" s="1"/>
  <c r="N124" i="1" s="1"/>
  <c r="AV123" i="1"/>
  <c r="M124" i="1" l="1"/>
  <c r="AY123" i="1"/>
  <c r="AZ123" i="1" s="1"/>
  <c r="AX123" i="1"/>
  <c r="AL123" i="1" s="1"/>
  <c r="K124" i="1" l="1"/>
  <c r="AS124" i="1" s="1"/>
  <c r="AH124" i="1"/>
  <c r="AM124" i="1" s="1"/>
  <c r="U124" i="1" l="1"/>
  <c r="AO124" i="1"/>
  <c r="AQ124" i="1" s="1"/>
  <c r="V124" i="1"/>
  <c r="S124" i="1" l="1"/>
  <c r="R124" i="1" l="1"/>
  <c r="T124" i="1" s="1"/>
  <c r="Q124" i="1" s="1"/>
  <c r="AT124" i="1" s="1"/>
  <c r="AU124" i="1" s="1"/>
  <c r="AW124" i="1" l="1"/>
  <c r="AP124" i="1" s="1"/>
  <c r="O125" i="1"/>
  <c r="P125" i="1" s="1"/>
  <c r="N125" i="1" s="1"/>
  <c r="AV124" i="1"/>
  <c r="M125" i="1" l="1"/>
  <c r="AX124" i="1"/>
  <c r="AL124" i="1" s="1"/>
  <c r="AY124" i="1"/>
  <c r="AZ124" i="1" s="1"/>
  <c r="K125" i="1" l="1"/>
  <c r="AS125" i="1" s="1"/>
  <c r="AH125" i="1"/>
  <c r="AM125" i="1" s="1"/>
  <c r="U125" i="1" l="1"/>
  <c r="AO125" i="1"/>
  <c r="AQ125" i="1" s="1"/>
  <c r="V125" i="1"/>
  <c r="S125" i="1" l="1"/>
  <c r="R125" i="1" s="1"/>
  <c r="T125" i="1" s="1"/>
  <c r="Q125" i="1" s="1"/>
  <c r="AT125" i="1" s="1"/>
  <c r="AU125" i="1" s="1"/>
  <c r="AV125" i="1" s="1"/>
  <c r="AW125" i="1" l="1"/>
  <c r="AP125" i="1" s="1"/>
  <c r="O126" i="1"/>
  <c r="P126" i="1" s="1"/>
  <c r="N126" i="1" s="1"/>
  <c r="M126" i="1" l="1"/>
  <c r="AY125" i="1"/>
  <c r="AZ125" i="1" s="1"/>
  <c r="AX125" i="1"/>
  <c r="AL125" i="1" s="1"/>
  <c r="AH126" i="1" l="1"/>
  <c r="AM126" i="1" s="1"/>
  <c r="K126" i="1"/>
  <c r="AS126" i="1" s="1"/>
  <c r="V126" i="1" l="1"/>
  <c r="U126" i="1"/>
  <c r="AO126" i="1"/>
  <c r="AQ126" i="1" s="1"/>
  <c r="S126" i="1" l="1"/>
  <c r="R126" i="1" l="1"/>
  <c r="T126" i="1" s="1"/>
  <c r="Q126" i="1" s="1"/>
  <c r="AT126" i="1" s="1"/>
  <c r="AU126" i="1" s="1"/>
  <c r="AW126" i="1" l="1"/>
  <c r="AP126" i="1" s="1"/>
  <c r="O127" i="1"/>
  <c r="P127" i="1" s="1"/>
  <c r="N127" i="1" s="1"/>
  <c r="AV126" i="1"/>
  <c r="M127" i="1" l="1"/>
  <c r="AY126" i="1"/>
  <c r="AZ126" i="1" s="1"/>
  <c r="AX126" i="1"/>
  <c r="AL126" i="1" s="1"/>
  <c r="K127" i="1" l="1"/>
  <c r="AS127" i="1" s="1"/>
  <c r="AH127" i="1"/>
  <c r="AM127" i="1" s="1"/>
  <c r="U127" i="1" l="1"/>
  <c r="AO127" i="1"/>
  <c r="AQ127" i="1" s="1"/>
  <c r="S127" i="1" s="1"/>
  <c r="V127" i="1"/>
  <c r="R127" i="1" l="1"/>
  <c r="T127" i="1" s="1"/>
  <c r="Q127" i="1" s="1"/>
  <c r="AT127" i="1" s="1"/>
  <c r="AU127" i="1" s="1"/>
  <c r="AW127" i="1" l="1"/>
  <c r="AP127" i="1" s="1"/>
  <c r="O128" i="1"/>
  <c r="P128" i="1" s="1"/>
  <c r="N128" i="1" s="1"/>
  <c r="AV127" i="1"/>
  <c r="M128" i="1" l="1"/>
  <c r="AY127" i="1"/>
  <c r="AZ127" i="1" s="1"/>
  <c r="AX127" i="1"/>
  <c r="AL127" i="1" s="1"/>
  <c r="AH128" i="1" l="1"/>
  <c r="AM128" i="1" s="1"/>
  <c r="K128" i="1"/>
  <c r="AS128" i="1" s="1"/>
  <c r="V128" i="1" l="1"/>
  <c r="AO128" i="1"/>
  <c r="AQ128" i="1" s="1"/>
  <c r="S128" i="1" s="1"/>
  <c r="U128" i="1"/>
  <c r="R128" i="1" l="1"/>
  <c r="T128" i="1" s="1"/>
  <c r="Q128" i="1" s="1"/>
  <c r="AT128" i="1" s="1"/>
  <c r="AU128" i="1" s="1"/>
  <c r="AW128" i="1" l="1"/>
  <c r="AP128" i="1" s="1"/>
  <c r="O129" i="1"/>
  <c r="P129" i="1" s="1"/>
  <c r="N129" i="1" s="1"/>
  <c r="AV128" i="1"/>
  <c r="M129" i="1" l="1"/>
  <c r="AX128" i="1"/>
  <c r="AL128" i="1" s="1"/>
  <c r="AY128" i="1"/>
  <c r="AZ128" i="1" s="1"/>
  <c r="K129" i="1" l="1"/>
  <c r="AS129" i="1" s="1"/>
  <c r="AH129" i="1"/>
  <c r="AM129" i="1" s="1"/>
  <c r="U129" i="1" l="1"/>
  <c r="AO129" i="1"/>
  <c r="AQ129" i="1" s="1"/>
  <c r="V129" i="1"/>
  <c r="S129" i="1" l="1"/>
  <c r="R129" i="1" l="1"/>
  <c r="T129" i="1" s="1"/>
  <c r="Q129" i="1" s="1"/>
  <c r="AT129" i="1" s="1"/>
  <c r="AU129" i="1" s="1"/>
  <c r="AW129" i="1" l="1"/>
  <c r="AP129" i="1" s="1"/>
  <c r="O130" i="1"/>
  <c r="P130" i="1" s="1"/>
  <c r="N130" i="1" s="1"/>
  <c r="AV129" i="1"/>
  <c r="M130" i="1" l="1"/>
  <c r="AX129" i="1"/>
  <c r="AL129" i="1" s="1"/>
  <c r="AY129" i="1"/>
  <c r="AZ129" i="1" s="1"/>
  <c r="K130" i="1" l="1"/>
  <c r="AS130" i="1" s="1"/>
  <c r="AH130" i="1"/>
  <c r="AM130" i="1" s="1"/>
  <c r="U130" i="1" l="1"/>
  <c r="AO130" i="1"/>
  <c r="AQ130" i="1" s="1"/>
  <c r="S130" i="1" s="1"/>
  <c r="V130" i="1"/>
  <c r="R130" i="1" l="1"/>
  <c r="T130" i="1" s="1"/>
  <c r="Q130" i="1" s="1"/>
  <c r="AT130" i="1" s="1"/>
  <c r="AU130" i="1" s="1"/>
  <c r="AW130" i="1" l="1"/>
  <c r="AP130" i="1" s="1"/>
  <c r="O131" i="1"/>
  <c r="P131" i="1" s="1"/>
  <c r="N131" i="1" s="1"/>
  <c r="AV130" i="1"/>
  <c r="M131" i="1" l="1"/>
  <c r="AY130" i="1"/>
  <c r="AZ130" i="1" s="1"/>
  <c r="AX130" i="1"/>
  <c r="AL130" i="1" s="1"/>
  <c r="AH131" i="1" l="1"/>
  <c r="AM131" i="1" s="1"/>
  <c r="K131" i="1"/>
  <c r="AS131" i="1" s="1"/>
  <c r="V131" i="1" l="1"/>
  <c r="AO131" i="1"/>
  <c r="AQ131" i="1" s="1"/>
  <c r="U131" i="1"/>
  <c r="S131" i="1" l="1"/>
  <c r="R131" i="1" l="1"/>
  <c r="T131" i="1" s="1"/>
  <c r="Q131" i="1" s="1"/>
  <c r="AT131" i="1" s="1"/>
  <c r="AU131" i="1" s="1"/>
  <c r="AW131" i="1" l="1"/>
  <c r="AP131" i="1" s="1"/>
  <c r="O132" i="1"/>
  <c r="P132" i="1" s="1"/>
  <c r="N132" i="1" s="1"/>
  <c r="AV131" i="1"/>
  <c r="M132" i="1" l="1"/>
  <c r="AX131" i="1"/>
  <c r="AL131" i="1" s="1"/>
  <c r="AY131" i="1"/>
  <c r="AZ131" i="1" s="1"/>
  <c r="K132" i="1" l="1"/>
  <c r="AS132" i="1" s="1"/>
  <c r="AH132" i="1"/>
  <c r="AM132" i="1" s="1"/>
  <c r="U132" i="1" l="1"/>
  <c r="AO132" i="1"/>
  <c r="AQ132" i="1" s="1"/>
  <c r="S132" i="1" s="1"/>
  <c r="V132" i="1"/>
  <c r="R132" i="1" l="1"/>
  <c r="T132" i="1" s="1"/>
  <c r="Q132" i="1" s="1"/>
  <c r="AT132" i="1" s="1"/>
  <c r="AU132" i="1" s="1"/>
  <c r="AW132" i="1" l="1"/>
  <c r="AP132" i="1" s="1"/>
  <c r="O133" i="1"/>
  <c r="P133" i="1" s="1"/>
  <c r="N133" i="1" s="1"/>
  <c r="AV132" i="1"/>
  <c r="M133" i="1" l="1"/>
  <c r="AX132" i="1"/>
  <c r="AL132" i="1" s="1"/>
  <c r="AY132" i="1"/>
  <c r="AZ132" i="1" s="1"/>
  <c r="K133" i="1" l="1"/>
  <c r="AS133" i="1" s="1"/>
  <c r="AH133" i="1"/>
  <c r="AM133" i="1" s="1"/>
  <c r="U133" i="1" l="1"/>
  <c r="AO133" i="1"/>
  <c r="AQ133" i="1" s="1"/>
  <c r="V133" i="1"/>
  <c r="S133" i="1" l="1"/>
  <c r="R133" i="1" l="1"/>
  <c r="T133" i="1" s="1"/>
  <c r="Q133" i="1" s="1"/>
  <c r="AT133" i="1" s="1"/>
  <c r="AU133" i="1" s="1"/>
  <c r="AW133" i="1" l="1"/>
  <c r="AP133" i="1" s="1"/>
  <c r="O134" i="1"/>
  <c r="P134" i="1" s="1"/>
  <c r="N134" i="1" s="1"/>
  <c r="AV133" i="1"/>
  <c r="M134" i="1" l="1"/>
  <c r="AX133" i="1"/>
  <c r="AL133" i="1" s="1"/>
  <c r="AY133" i="1"/>
  <c r="AZ133" i="1" s="1"/>
  <c r="K134" i="1" l="1"/>
  <c r="AS134" i="1" s="1"/>
  <c r="AH134" i="1"/>
  <c r="AM134" i="1" s="1"/>
  <c r="AO134" i="1" l="1"/>
  <c r="AQ134" i="1" s="1"/>
  <c r="S134" i="1" s="1"/>
  <c r="U134" i="1"/>
  <c r="V134" i="1"/>
  <c r="R134" i="1" l="1"/>
  <c r="T134" i="1" s="1"/>
  <c r="Q134" i="1" s="1"/>
  <c r="AT134" i="1" s="1"/>
  <c r="AU134" i="1" s="1"/>
  <c r="AW134" i="1" l="1"/>
  <c r="AP134" i="1" s="1"/>
  <c r="O135" i="1"/>
  <c r="P135" i="1" s="1"/>
  <c r="N135" i="1" s="1"/>
  <c r="AV134" i="1"/>
  <c r="M135" i="1" l="1"/>
  <c r="AX134" i="1"/>
  <c r="AL134" i="1" s="1"/>
  <c r="AY134" i="1"/>
  <c r="AZ134" i="1" s="1"/>
  <c r="AH135" i="1" l="1"/>
  <c r="AM135" i="1" s="1"/>
  <c r="K135" i="1"/>
  <c r="AS135" i="1" s="1"/>
  <c r="V135" i="1" l="1"/>
  <c r="AO135" i="1"/>
  <c r="AQ135" i="1" s="1"/>
  <c r="U135" i="1"/>
  <c r="S135" i="1" l="1"/>
  <c r="R135" i="1" l="1"/>
  <c r="T135" i="1" s="1"/>
  <c r="Q135" i="1" s="1"/>
  <c r="AT135" i="1" s="1"/>
  <c r="AU135" i="1" s="1"/>
  <c r="AW135" i="1" l="1"/>
  <c r="AP135" i="1" s="1"/>
  <c r="O136" i="1"/>
  <c r="P136" i="1" s="1"/>
  <c r="N136" i="1" s="1"/>
  <c r="AV135" i="1"/>
  <c r="M136" i="1" l="1"/>
  <c r="AY135" i="1"/>
  <c r="AZ135" i="1" s="1"/>
  <c r="AX135" i="1"/>
  <c r="AL135" i="1" s="1"/>
  <c r="K136" i="1" l="1"/>
  <c r="AS136" i="1" s="1"/>
  <c r="AH136" i="1"/>
  <c r="AM136" i="1" s="1"/>
  <c r="AO136" i="1" l="1"/>
  <c r="AQ136" i="1" s="1"/>
  <c r="S136" i="1" s="1"/>
  <c r="U136" i="1"/>
  <c r="V136" i="1"/>
  <c r="R136" i="1" l="1"/>
  <c r="T136" i="1" s="1"/>
  <c r="Q136" i="1" s="1"/>
  <c r="AT136" i="1" s="1"/>
  <c r="AU136" i="1" s="1"/>
  <c r="AW136" i="1" l="1"/>
  <c r="AP136" i="1" s="1"/>
  <c r="O137" i="1"/>
  <c r="P137" i="1" s="1"/>
  <c r="N137" i="1" s="1"/>
  <c r="AV136" i="1"/>
  <c r="M137" i="1" l="1"/>
  <c r="AX136" i="1"/>
  <c r="AL136" i="1" s="1"/>
  <c r="AY136" i="1"/>
  <c r="AZ136" i="1" s="1"/>
  <c r="K137" i="1" l="1"/>
  <c r="AS137" i="1" s="1"/>
  <c r="AH137" i="1"/>
  <c r="AM137" i="1" s="1"/>
  <c r="U137" i="1" l="1"/>
  <c r="AO137" i="1"/>
  <c r="AQ137" i="1" s="1"/>
  <c r="V137" i="1"/>
  <c r="S137" i="1" l="1"/>
  <c r="R137" i="1" l="1"/>
  <c r="T137" i="1" s="1"/>
  <c r="Q137" i="1" s="1"/>
  <c r="AT137" i="1" s="1"/>
  <c r="AU137" i="1" s="1"/>
  <c r="AW137" i="1" l="1"/>
  <c r="AP137" i="1" s="1"/>
  <c r="O138" i="1"/>
  <c r="P138" i="1" s="1"/>
  <c r="N138" i="1" s="1"/>
  <c r="AV137" i="1"/>
  <c r="M138" i="1" l="1"/>
  <c r="AY137" i="1"/>
  <c r="AZ137" i="1" s="1"/>
  <c r="AX137" i="1"/>
  <c r="AL137" i="1" s="1"/>
  <c r="K138" i="1" l="1"/>
  <c r="AS138" i="1" s="1"/>
  <c r="AH138" i="1"/>
  <c r="AM138" i="1" s="1"/>
  <c r="AO138" i="1" l="1"/>
  <c r="AQ138" i="1" s="1"/>
  <c r="S138" i="1" s="1"/>
  <c r="U138" i="1"/>
  <c r="V138" i="1"/>
  <c r="R138" i="1" l="1"/>
  <c r="T138" i="1" s="1"/>
  <c r="Q138" i="1" s="1"/>
  <c r="AT138" i="1" s="1"/>
  <c r="AU138" i="1" s="1"/>
  <c r="AW138" i="1" l="1"/>
  <c r="AP138" i="1" s="1"/>
  <c r="O139" i="1"/>
  <c r="P139" i="1" s="1"/>
  <c r="N139" i="1" s="1"/>
  <c r="AV138" i="1"/>
  <c r="M139" i="1" l="1"/>
  <c r="AY138" i="1"/>
  <c r="AZ138" i="1" s="1"/>
  <c r="AX138" i="1"/>
  <c r="AL138" i="1" s="1"/>
  <c r="K139" i="1" l="1"/>
  <c r="AS139" i="1" s="1"/>
  <c r="AH139" i="1"/>
  <c r="AM139" i="1" s="1"/>
  <c r="U139" i="1" l="1"/>
  <c r="AO139" i="1"/>
  <c r="AQ139" i="1" s="1"/>
  <c r="S139" i="1" s="1"/>
  <c r="V139" i="1"/>
  <c r="R139" i="1" l="1"/>
  <c r="T139" i="1" s="1"/>
  <c r="Q139" i="1" s="1"/>
  <c r="AT139" i="1" s="1"/>
  <c r="AU139" i="1" s="1"/>
  <c r="AW139" i="1" l="1"/>
  <c r="AP139" i="1" s="1"/>
  <c r="O140" i="1"/>
  <c r="P140" i="1" s="1"/>
  <c r="N140" i="1" s="1"/>
  <c r="AV139" i="1"/>
  <c r="M140" i="1" l="1"/>
  <c r="AX139" i="1"/>
  <c r="AL139" i="1" s="1"/>
  <c r="AY139" i="1"/>
  <c r="AZ139" i="1" s="1"/>
  <c r="K140" i="1" l="1"/>
  <c r="AS140" i="1" s="1"/>
  <c r="AH140" i="1"/>
  <c r="AM140" i="1" s="1"/>
  <c r="U140" i="1" l="1"/>
  <c r="AO140" i="1"/>
  <c r="AQ140" i="1" s="1"/>
  <c r="S140" i="1" s="1"/>
  <c r="V140" i="1"/>
  <c r="R140" i="1" l="1"/>
  <c r="T140" i="1" s="1"/>
  <c r="Q140" i="1" s="1"/>
  <c r="AT140" i="1" s="1"/>
  <c r="AU140" i="1" s="1"/>
  <c r="AW140" i="1" l="1"/>
  <c r="AP140" i="1" s="1"/>
  <c r="O141" i="1"/>
  <c r="P141" i="1" s="1"/>
  <c r="N141" i="1" s="1"/>
  <c r="AV140" i="1"/>
  <c r="M141" i="1" l="1"/>
  <c r="AY140" i="1"/>
  <c r="AZ140" i="1" s="1"/>
  <c r="AX140" i="1"/>
  <c r="AL140" i="1" s="1"/>
  <c r="AH141" i="1" l="1"/>
  <c r="AM141" i="1" s="1"/>
  <c r="K141" i="1"/>
  <c r="AS141" i="1" s="1"/>
  <c r="V141" i="1" l="1"/>
  <c r="U141" i="1"/>
  <c r="AO141" i="1"/>
  <c r="AQ141" i="1" s="1"/>
  <c r="S141" i="1" l="1"/>
  <c r="R141" i="1" l="1"/>
  <c r="T141" i="1" s="1"/>
  <c r="Q141" i="1" s="1"/>
  <c r="AT141" i="1" s="1"/>
  <c r="AU141" i="1" s="1"/>
  <c r="AW141" i="1" l="1"/>
  <c r="AP141" i="1" s="1"/>
  <c r="O142" i="1"/>
  <c r="P142" i="1" s="1"/>
  <c r="N142" i="1" s="1"/>
  <c r="AV141" i="1"/>
  <c r="M142" i="1" l="1"/>
  <c r="AX141" i="1"/>
  <c r="AL141" i="1" s="1"/>
  <c r="AY141" i="1"/>
  <c r="AZ141" i="1" s="1"/>
  <c r="AH142" i="1" l="1"/>
  <c r="AM142" i="1" s="1"/>
  <c r="K142" i="1"/>
  <c r="AS142" i="1" s="1"/>
  <c r="V142" i="1" l="1"/>
  <c r="U142" i="1"/>
  <c r="AO142" i="1"/>
  <c r="AQ142" i="1" s="1"/>
  <c r="S142" i="1" l="1"/>
  <c r="R142" i="1" l="1"/>
  <c r="T142" i="1" s="1"/>
  <c r="Q142" i="1" s="1"/>
  <c r="AT142" i="1" s="1"/>
  <c r="AU142" i="1" s="1"/>
  <c r="AW142" i="1" l="1"/>
  <c r="AP142" i="1" s="1"/>
  <c r="O143" i="1"/>
  <c r="P143" i="1" s="1"/>
  <c r="N143" i="1" s="1"/>
  <c r="AV142" i="1"/>
  <c r="M143" i="1" l="1"/>
  <c r="AX142" i="1"/>
  <c r="AL142" i="1" s="1"/>
  <c r="AY142" i="1"/>
  <c r="AZ142" i="1" s="1"/>
  <c r="K143" i="1" l="1"/>
  <c r="AS143" i="1" s="1"/>
  <c r="AH143" i="1"/>
  <c r="AM143" i="1" s="1"/>
  <c r="U143" i="1" l="1"/>
  <c r="AO143" i="1"/>
  <c r="AQ143" i="1" s="1"/>
  <c r="V143" i="1"/>
  <c r="S143" i="1" l="1"/>
  <c r="R143" i="1" l="1"/>
  <c r="T143" i="1" s="1"/>
  <c r="Q143" i="1" s="1"/>
  <c r="AT143" i="1" s="1"/>
  <c r="AU143" i="1" s="1"/>
  <c r="AW143" i="1" l="1"/>
  <c r="AP143" i="1" s="1"/>
  <c r="O144" i="1"/>
  <c r="P144" i="1" s="1"/>
  <c r="N144" i="1" s="1"/>
  <c r="AV143" i="1"/>
  <c r="M144" i="1" l="1"/>
  <c r="AY143" i="1"/>
  <c r="AZ143" i="1" s="1"/>
  <c r="AX143" i="1"/>
  <c r="AL143" i="1" s="1"/>
  <c r="K144" i="1" l="1"/>
  <c r="AS144" i="1" s="1"/>
  <c r="AH144" i="1"/>
  <c r="AM144" i="1" s="1"/>
  <c r="AO144" i="1" l="1"/>
  <c r="AQ144" i="1" s="1"/>
  <c r="S144" i="1" s="1"/>
  <c r="U144" i="1"/>
  <c r="V144" i="1"/>
  <c r="R144" i="1" l="1"/>
  <c r="T144" i="1" s="1"/>
  <c r="Q144" i="1" s="1"/>
  <c r="AT144" i="1" s="1"/>
  <c r="AU144" i="1" s="1"/>
  <c r="AV144" i="1" s="1"/>
  <c r="AW144" i="1" l="1"/>
  <c r="AP144" i="1" s="1"/>
  <c r="O145" i="1"/>
  <c r="P145" i="1" s="1"/>
  <c r="N145" i="1" s="1"/>
  <c r="M145" i="1" l="1"/>
  <c r="AX144" i="1"/>
  <c r="AL144" i="1" s="1"/>
  <c r="AY144" i="1"/>
  <c r="AZ144" i="1" s="1"/>
  <c r="K145" i="1" l="1"/>
  <c r="AS145" i="1" s="1"/>
  <c r="AH145" i="1"/>
  <c r="AM145" i="1" s="1"/>
  <c r="U145" i="1" l="1"/>
  <c r="AO145" i="1"/>
  <c r="AQ145" i="1" s="1"/>
  <c r="S145" i="1" s="1"/>
  <c r="V145" i="1"/>
  <c r="R145" i="1" l="1"/>
  <c r="T145" i="1" s="1"/>
  <c r="Q145" i="1" s="1"/>
  <c r="AT145" i="1" s="1"/>
  <c r="AU145" i="1" s="1"/>
  <c r="AW145" i="1" l="1"/>
  <c r="AP145" i="1" s="1"/>
  <c r="O146" i="1"/>
  <c r="P146" i="1" s="1"/>
  <c r="N146" i="1" s="1"/>
  <c r="AV145" i="1"/>
  <c r="M146" i="1" l="1"/>
  <c r="AY145" i="1"/>
  <c r="AZ145" i="1" s="1"/>
  <c r="AX145" i="1"/>
  <c r="AL145" i="1" s="1"/>
  <c r="K146" i="1" l="1"/>
  <c r="AS146" i="1" s="1"/>
  <c r="AH146" i="1"/>
  <c r="AM146" i="1" s="1"/>
  <c r="U146" i="1" l="1"/>
  <c r="AO146" i="1"/>
  <c r="AQ146" i="1" s="1"/>
  <c r="S146" i="1" s="1"/>
  <c r="V146" i="1"/>
  <c r="R146" i="1" l="1"/>
  <c r="T146" i="1" s="1"/>
  <c r="Q146" i="1" s="1"/>
  <c r="AT146" i="1" s="1"/>
  <c r="AU146" i="1" s="1"/>
  <c r="AW146" i="1" l="1"/>
  <c r="AP146" i="1" s="1"/>
  <c r="O147" i="1"/>
  <c r="P147" i="1" s="1"/>
  <c r="N147" i="1" s="1"/>
  <c r="AV146" i="1"/>
  <c r="M147" i="1" l="1"/>
  <c r="AY146" i="1"/>
  <c r="AZ146" i="1" s="1"/>
  <c r="AX146" i="1"/>
  <c r="AL146" i="1" s="1"/>
  <c r="K147" i="1" l="1"/>
  <c r="AS147" i="1" s="1"/>
  <c r="AH147" i="1"/>
  <c r="AM147" i="1" s="1"/>
  <c r="U147" i="1" l="1"/>
  <c r="AO147" i="1"/>
  <c r="AQ147" i="1" s="1"/>
  <c r="V147" i="1"/>
  <c r="S147" i="1" l="1"/>
  <c r="R147" i="1" l="1"/>
  <c r="T147" i="1" s="1"/>
  <c r="Q147" i="1" s="1"/>
  <c r="AT147" i="1" s="1"/>
  <c r="AU147" i="1" s="1"/>
  <c r="AW147" i="1" l="1"/>
  <c r="AP147" i="1" s="1"/>
  <c r="O148" i="1"/>
  <c r="P148" i="1" s="1"/>
  <c r="N148" i="1" s="1"/>
  <c r="AV147" i="1"/>
  <c r="M148" i="1" l="1"/>
  <c r="AY147" i="1"/>
  <c r="AZ147" i="1" s="1"/>
  <c r="AX147" i="1"/>
  <c r="AL147" i="1" s="1"/>
  <c r="K148" i="1" l="1"/>
  <c r="AS148" i="1" s="1"/>
  <c r="AH148" i="1"/>
  <c r="AM148" i="1" s="1"/>
  <c r="AO148" i="1" l="1"/>
  <c r="AQ148" i="1" s="1"/>
  <c r="U148" i="1"/>
  <c r="V148" i="1"/>
  <c r="S148" i="1" l="1"/>
  <c r="R148" i="1" l="1"/>
  <c r="T148" i="1" s="1"/>
  <c r="Q148" i="1" s="1"/>
  <c r="AT148" i="1" s="1"/>
  <c r="AU148" i="1" s="1"/>
  <c r="AW148" i="1" l="1"/>
  <c r="AP148" i="1" s="1"/>
  <c r="O149" i="1"/>
  <c r="P149" i="1" s="1"/>
  <c r="N149" i="1" s="1"/>
  <c r="AV148" i="1"/>
  <c r="M149" i="1" l="1"/>
  <c r="AX148" i="1"/>
  <c r="AL148" i="1" s="1"/>
  <c r="AY148" i="1"/>
  <c r="AZ148" i="1" s="1"/>
  <c r="K149" i="1" l="1"/>
  <c r="AS149" i="1" s="1"/>
  <c r="AH149" i="1"/>
  <c r="AM149" i="1" s="1"/>
  <c r="AO149" i="1" l="1"/>
  <c r="AQ149" i="1" s="1"/>
  <c r="S149" i="1" s="1"/>
  <c r="U149" i="1"/>
  <c r="V149" i="1"/>
  <c r="R149" i="1" l="1"/>
  <c r="T149" i="1" s="1"/>
  <c r="Q149" i="1" s="1"/>
  <c r="AT149" i="1" s="1"/>
  <c r="AU149" i="1" s="1"/>
  <c r="AW149" i="1" l="1"/>
  <c r="AP149" i="1" s="1"/>
  <c r="O150" i="1"/>
  <c r="P150" i="1" s="1"/>
  <c r="N150" i="1" s="1"/>
  <c r="AV149" i="1"/>
  <c r="M150" i="1" l="1"/>
  <c r="AY149" i="1"/>
  <c r="AZ149" i="1" s="1"/>
  <c r="AX149" i="1"/>
  <c r="AL149" i="1" s="1"/>
  <c r="K150" i="1" l="1"/>
  <c r="AS150" i="1" s="1"/>
  <c r="AH150" i="1"/>
  <c r="AM150" i="1" s="1"/>
  <c r="U150" i="1" l="1"/>
  <c r="AO150" i="1"/>
  <c r="AQ150" i="1" s="1"/>
  <c r="V150" i="1"/>
  <c r="S150" i="1" l="1"/>
  <c r="R150" i="1" l="1"/>
  <c r="T150" i="1" s="1"/>
  <c r="Q150" i="1" s="1"/>
  <c r="AT150" i="1" s="1"/>
  <c r="AU150" i="1" s="1"/>
  <c r="AW150" i="1" l="1"/>
  <c r="AP150" i="1" s="1"/>
  <c r="O151" i="1"/>
  <c r="P151" i="1" s="1"/>
  <c r="N151" i="1" s="1"/>
  <c r="AV150" i="1"/>
  <c r="M151" i="1" l="1"/>
  <c r="AY150" i="1"/>
  <c r="AZ150" i="1" s="1"/>
  <c r="AX150" i="1"/>
  <c r="AL150" i="1" s="1"/>
  <c r="K151" i="1" l="1"/>
  <c r="AS151" i="1" s="1"/>
  <c r="AH151" i="1"/>
  <c r="AM151" i="1" s="1"/>
  <c r="U151" i="1" l="1"/>
  <c r="AO151" i="1"/>
  <c r="AQ151" i="1" s="1"/>
  <c r="S151" i="1" s="1"/>
  <c r="V151" i="1"/>
  <c r="R151" i="1" l="1"/>
  <c r="T151" i="1" s="1"/>
  <c r="Q151" i="1" s="1"/>
  <c r="AT151" i="1" s="1"/>
  <c r="AU151" i="1" s="1"/>
  <c r="AW151" i="1" l="1"/>
  <c r="AP151" i="1" s="1"/>
  <c r="O152" i="1"/>
  <c r="P152" i="1" s="1"/>
  <c r="N152" i="1" s="1"/>
  <c r="AV151" i="1"/>
  <c r="M152" i="1" l="1"/>
  <c r="AX151" i="1"/>
  <c r="AL151" i="1" s="1"/>
  <c r="AY151" i="1"/>
  <c r="AZ151" i="1" s="1"/>
  <c r="K152" i="1" l="1"/>
  <c r="AS152" i="1" s="1"/>
  <c r="AH152" i="1"/>
  <c r="AM152" i="1" s="1"/>
  <c r="AO152" i="1" l="1"/>
  <c r="AQ152" i="1" s="1"/>
  <c r="S152" i="1" s="1"/>
  <c r="U152" i="1"/>
  <c r="V152" i="1"/>
  <c r="R152" i="1" l="1"/>
  <c r="T152" i="1" s="1"/>
  <c r="Q152" i="1" s="1"/>
  <c r="AT152" i="1" s="1"/>
  <c r="AU152" i="1" s="1"/>
  <c r="AW152" i="1" l="1"/>
  <c r="AP152" i="1" s="1"/>
  <c r="O153" i="1"/>
  <c r="P153" i="1" s="1"/>
  <c r="N153" i="1" s="1"/>
  <c r="M153" i="1" s="1"/>
  <c r="AV152" i="1"/>
  <c r="K153" i="1" l="1"/>
  <c r="AS153" i="1" s="1"/>
  <c r="AH153" i="1"/>
  <c r="AY152" i="1"/>
  <c r="AZ152" i="1" s="1"/>
  <c r="AX152" i="1"/>
  <c r="AL152" i="1" s="1"/>
  <c r="AM153" i="1" l="1"/>
  <c r="V153" i="1"/>
  <c r="U153" i="1" l="1"/>
  <c r="AO153" i="1"/>
  <c r="AQ153" i="1" s="1"/>
  <c r="S153" i="1" l="1"/>
  <c r="R153" i="1" l="1"/>
  <c r="T153" i="1" s="1"/>
  <c r="Q153" i="1" s="1"/>
  <c r="AT153" i="1" s="1"/>
  <c r="AU153" i="1" s="1"/>
  <c r="O154" i="1" s="1"/>
  <c r="P154" i="1" s="1"/>
  <c r="N154" i="1" s="1"/>
  <c r="M154" i="1" s="1"/>
  <c r="K154" i="1" s="1"/>
  <c r="AW153" i="1" l="1"/>
  <c r="AP153" i="1" s="1"/>
  <c r="AV153" i="1"/>
  <c r="AY153" i="1" l="1"/>
  <c r="AZ153" i="1" s="1"/>
  <c r="AX153" i="1"/>
  <c r="AL153" i="1" s="1"/>
</calcChain>
</file>

<file path=xl/sharedStrings.xml><?xml version="1.0" encoding="utf-8"?>
<sst xmlns="http://schemas.openxmlformats.org/spreadsheetml/2006/main" count="200" uniqueCount="161">
  <si>
    <t>EXPENSES MONTHLY</t>
  </si>
  <si>
    <t>Mortgage</t>
  </si>
  <si>
    <t>Utilities (water)</t>
  </si>
  <si>
    <t>Power (electrical)</t>
  </si>
  <si>
    <t>Cable + Phone</t>
  </si>
  <si>
    <t>HOA</t>
  </si>
  <si>
    <t>xx</t>
  </si>
  <si>
    <t>Food</t>
  </si>
  <si>
    <t>Gasoline</t>
  </si>
  <si>
    <t>Health Insurance</t>
  </si>
  <si>
    <t>Clothing</t>
  </si>
  <si>
    <t>Entertainement</t>
  </si>
  <si>
    <t>Vacation</t>
  </si>
  <si>
    <t>Miss</t>
  </si>
  <si>
    <t>Case 1</t>
  </si>
  <si>
    <t>Property Tax</t>
  </si>
  <si>
    <t>Income tax</t>
  </si>
  <si>
    <t>Auto Repairs</t>
  </si>
  <si>
    <t>Prop Inprov and Repair</t>
  </si>
  <si>
    <t>Auto Insurance</t>
  </si>
  <si>
    <t>House Insurance</t>
  </si>
  <si>
    <t>Books etc</t>
  </si>
  <si>
    <t>Medical expenses</t>
  </si>
  <si>
    <t>Repairs Other</t>
  </si>
  <si>
    <t>Birthdays/ xmas etc</t>
  </si>
  <si>
    <t>==================</t>
  </si>
  <si>
    <t>Case 2</t>
  </si>
  <si>
    <t>Case 3</t>
  </si>
  <si>
    <t>Case 4</t>
  </si>
  <si>
    <t>No Mortgage</t>
  </si>
  <si>
    <t>INCOMES MONTHLY</t>
  </si>
  <si>
    <t>Pauls SS</t>
  </si>
  <si>
    <t>Dags SS</t>
  </si>
  <si>
    <t>Dags Pension</t>
  </si>
  <si>
    <t>Shortfall or Excess</t>
  </si>
  <si>
    <t>Savings</t>
  </si>
  <si>
    <t>Red House</t>
  </si>
  <si>
    <t>Portugal Place</t>
  </si>
  <si>
    <t>Business Value</t>
  </si>
  <si>
    <t>ASSET INCOME</t>
  </si>
  <si>
    <t>NET SHORT FALL</t>
  </si>
  <si>
    <t>OR SURPLUS</t>
  </si>
  <si>
    <t>No Business Val</t>
  </si>
  <si>
    <t>Drink</t>
  </si>
  <si>
    <t>CREDIT CARD EXPENSES</t>
  </si>
  <si>
    <t xml:space="preserve">                                                            PAUL &amp; DAGMAR'S NIFTY RETIREMENT PLAN</t>
  </si>
  <si>
    <t>Boat</t>
  </si>
  <si>
    <t>Hair &amp; nail</t>
  </si>
  <si>
    <t>Food Eat out</t>
  </si>
  <si>
    <t>Home Goods/Firnishings</t>
  </si>
  <si>
    <t>ATM  Fees</t>
  </si>
  <si>
    <t xml:space="preserve">Cut Costs by </t>
  </si>
  <si>
    <t>Expenses</t>
  </si>
  <si>
    <t>NET LEFT OVER</t>
  </si>
  <si>
    <t>TOTAL INCOME</t>
  </si>
  <si>
    <t>Inflation</t>
  </si>
  <si>
    <t>EXPENSES IN</t>
  </si>
  <si>
    <t>YEARS</t>
  </si>
  <si>
    <t>Future Savings</t>
  </si>
  <si>
    <t>BASE ASSETS IN</t>
  </si>
  <si>
    <t>TOTAL ASSSETS</t>
  </si>
  <si>
    <t>Current Expenses</t>
  </si>
  <si>
    <t>INCOME THEN</t>
  </si>
  <si>
    <t>Pensions</t>
  </si>
  <si>
    <t>Surplus/Defecit</t>
  </si>
  <si>
    <t>Income from assets</t>
  </si>
  <si>
    <t>NET</t>
  </si>
  <si>
    <t>Case 5</t>
  </si>
  <si>
    <t>INVESTABLE ASSETS</t>
  </si>
  <si>
    <t>INV RETURN POST RET</t>
  </si>
  <si>
    <t>INV RETURN PRE RET</t>
  </si>
  <si>
    <t>DAG PENSION CALCULATIONS</t>
  </si>
  <si>
    <t>Age</t>
  </si>
  <si>
    <t>Date</t>
  </si>
  <si>
    <t>Salary</t>
  </si>
  <si>
    <t>Factor</t>
  </si>
  <si>
    <t>Years Ser</t>
  </si>
  <si>
    <t>Raise factor</t>
  </si>
  <si>
    <t>Over years Save</t>
  </si>
  <si>
    <t>Dag works</t>
  </si>
  <si>
    <t>Years</t>
  </si>
  <si>
    <t>Paul ss</t>
  </si>
  <si>
    <t>Dag ss</t>
  </si>
  <si>
    <t>Dag pension</t>
  </si>
  <si>
    <t>Assets</t>
  </si>
  <si>
    <t>Stock Assets</t>
  </si>
  <si>
    <t>Business</t>
  </si>
  <si>
    <t>Value</t>
  </si>
  <si>
    <t>Paul  Age</t>
  </si>
  <si>
    <t>Dag Age</t>
  </si>
  <si>
    <t>Retire In</t>
  </si>
  <si>
    <t>Additional</t>
  </si>
  <si>
    <t>Pre</t>
  </si>
  <si>
    <t>Retirement</t>
  </si>
  <si>
    <t>Total</t>
  </si>
  <si>
    <t>Income</t>
  </si>
  <si>
    <t>Taxes</t>
  </si>
  <si>
    <t>Florida Mortgage</t>
  </si>
  <si>
    <t>SHORTFALL</t>
  </si>
  <si>
    <t>Jason Age</t>
  </si>
  <si>
    <t xml:space="preserve">       QUIT YEAR ---&gt;</t>
  </si>
  <si>
    <t>Jason College</t>
  </si>
  <si>
    <r>
      <t xml:space="preserve">After </t>
    </r>
    <r>
      <rPr>
        <b/>
        <sz val="11"/>
        <color rgb="FFFF0000"/>
        <rFont val="Calibri"/>
        <family val="2"/>
        <scheme val="minor"/>
      </rPr>
      <t>Paying off</t>
    </r>
  </si>
  <si>
    <t>Per Year</t>
  </si>
  <si>
    <t>Proceeds</t>
  </si>
  <si>
    <t>From Sale Of</t>
  </si>
  <si>
    <t>RMD</t>
  </si>
  <si>
    <t>Exp -  Pensions</t>
  </si>
  <si>
    <t>RED</t>
  </si>
  <si>
    <t>HOUSE</t>
  </si>
  <si>
    <t>RECURRIMG Y/N</t>
  </si>
  <si>
    <t>ACCUMULATED</t>
  </si>
  <si>
    <t>DEFICIT</t>
  </si>
  <si>
    <t>ACCOUNT</t>
  </si>
  <si>
    <t>n</t>
  </si>
  <si>
    <t>EXPENSES</t>
  </si>
  <si>
    <t>MINUS</t>
  </si>
  <si>
    <t>INCOME</t>
  </si>
  <si>
    <t>TO BE</t>
  </si>
  <si>
    <t>COVERD BY</t>
  </si>
  <si>
    <t>House</t>
  </si>
  <si>
    <t>RENTAL INCOME; Enter as neg #</t>
  </si>
  <si>
    <t>LIQUID</t>
  </si>
  <si>
    <t>ALT  EXP</t>
  </si>
  <si>
    <r>
      <t>USE LOW?</t>
    </r>
    <r>
      <rPr>
        <b/>
        <sz val="11"/>
        <color rgb="FFFF0000"/>
        <rFont val="Calibri"/>
        <family val="2"/>
        <scheme val="minor"/>
      </rPr>
      <t xml:space="preserve"> Y/N </t>
    </r>
  </si>
  <si>
    <t>y</t>
  </si>
  <si>
    <t>SELL LRH</t>
  </si>
  <si>
    <t xml:space="preserve">IN YR </t>
  </si>
  <si>
    <t># OF PAYMENTS</t>
  </si>
  <si>
    <t>Real estate</t>
  </si>
  <si>
    <t>Florida home</t>
  </si>
  <si>
    <t>Realestate</t>
  </si>
  <si>
    <t>LRH</t>
  </si>
  <si>
    <t>Other Then</t>
  </si>
  <si>
    <t>Mortgages</t>
  </si>
  <si>
    <t>Florida</t>
  </si>
  <si>
    <t>Portugal</t>
  </si>
  <si>
    <t>&amp; Marina</t>
  </si>
  <si>
    <t>marina</t>
  </si>
  <si>
    <t>From</t>
  </si>
  <si>
    <t>1/2 Inflation</t>
  </si>
  <si>
    <t>Growing  at</t>
  </si>
  <si>
    <t>Rate</t>
  </si>
  <si>
    <t>Buy New Home in</t>
  </si>
  <si>
    <t>Years for</t>
  </si>
  <si>
    <t>new house</t>
  </si>
  <si>
    <t>tax</t>
  </si>
  <si>
    <t>insurance</t>
  </si>
  <si>
    <t>costs</t>
  </si>
  <si>
    <t>added</t>
  </si>
  <si>
    <t>Bing</t>
  </si>
  <si>
    <t>income</t>
  </si>
  <si>
    <t>plus</t>
  </si>
  <si>
    <t>Beginning of</t>
  </si>
  <si>
    <t>Year</t>
  </si>
  <si>
    <t xml:space="preserve">NET </t>
  </si>
  <si>
    <t>IF RENTED</t>
  </si>
  <si>
    <t>YEAR ROUND</t>
  </si>
  <si>
    <t>New House</t>
  </si>
  <si>
    <t>Assets Ofset</t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</si>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</sst>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,##0.00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164" fontId="0" fillId="0" borderId="0" xfId="0" quotePrefix="1" applyNumberFormat="1" applyAlignment="1">
      <alignment vertical="top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vertical="top"/>
    </xf>
    <xf numFmtId="10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164" fontId="1" fillId="3" borderId="0" xfId="0" applyNumberFormat="1" applyFont="1" applyFill="1"/>
    <xf numFmtId="0" fontId="1" fillId="3" borderId="0" xfId="0" applyFont="1" applyFill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/>
    <xf numFmtId="164" fontId="0" fillId="5" borderId="0" xfId="0" applyNumberFormat="1" applyFill="1"/>
    <xf numFmtId="166" fontId="0" fillId="0" borderId="0" xfId="0" applyNumberFormat="1"/>
    <xf numFmtId="0" fontId="0" fillId="5" borderId="0" xfId="0" applyFill="1"/>
    <xf numFmtId="0" fontId="0" fillId="6" borderId="0" xfId="0" applyFill="1"/>
    <xf numFmtId="164" fontId="0" fillId="6" borderId="0" xfId="0" applyNumberFormat="1" applyFill="1"/>
    <xf numFmtId="0" fontId="4" fillId="0" borderId="0" xfId="0" applyFont="1" applyAlignment="1">
      <alignment horizontal="right"/>
    </xf>
    <xf numFmtId="0" fontId="5" fillId="0" borderId="0" xfId="0" applyFont="1"/>
    <xf numFmtId="164" fontId="0" fillId="0" borderId="0" xfId="0" applyNumberFormat="1" applyFill="1"/>
    <xf numFmtId="44" fontId="0" fillId="0" borderId="0" xfId="0" applyNumberFormat="1"/>
    <xf numFmtId="44" fontId="6" fillId="0" borderId="0" xfId="0" applyNumberFormat="1" applyFont="1"/>
    <xf numFmtId="0" fontId="0" fillId="5" borderId="0" xfId="0" applyFill="1" applyAlignment="1">
      <alignment horizontal="right"/>
    </xf>
    <xf numFmtId="0" fontId="7" fillId="5" borderId="0" xfId="0" applyFont="1" applyFill="1"/>
    <xf numFmtId="0" fontId="0" fillId="7" borderId="0" xfId="0" applyFill="1"/>
    <xf numFmtId="0" fontId="0" fillId="7" borderId="0" xfId="0" applyFill="1" applyAlignment="1">
      <alignment horizontal="right"/>
    </xf>
    <xf numFmtId="164" fontId="0" fillId="7" borderId="0" xfId="0" applyNumberFormat="1" applyFill="1" applyAlignment="1">
      <alignment horizontal="right"/>
    </xf>
    <xf numFmtId="164" fontId="0" fillId="7" borderId="0" xfId="0" applyNumberFormat="1" applyFill="1"/>
    <xf numFmtId="164" fontId="4" fillId="0" borderId="0" xfId="0" applyNumberFormat="1" applyFont="1"/>
    <xf numFmtId="3" fontId="0" fillId="0" borderId="0" xfId="0" applyNumberFormat="1"/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left"/>
    </xf>
    <xf numFmtId="164" fontId="4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0" fontId="4" fillId="0" borderId="0" xfId="0" applyFont="1"/>
    <xf numFmtId="0" fontId="8" fillId="0" borderId="0" xfId="0" applyFont="1"/>
    <xf numFmtId="0" fontId="0" fillId="8" borderId="0" xfId="0" applyFill="1"/>
    <xf numFmtId="164" fontId="0" fillId="8" borderId="0" xfId="0" applyNumberFormat="1" applyFill="1"/>
    <xf numFmtId="0" fontId="0" fillId="8" borderId="0" xfId="0" applyFill="1" applyAlignment="1">
      <alignment horizontal="left"/>
    </xf>
    <xf numFmtId="1" fontId="0" fillId="8" borderId="0" xfId="0" applyNumberFormat="1" applyFill="1" applyAlignment="1">
      <alignment horizontal="left"/>
    </xf>
    <xf numFmtId="1" fontId="0" fillId="8" borderId="0" xfId="0" applyNumberFormat="1" applyFill="1"/>
    <xf numFmtId="3" fontId="0" fillId="8" borderId="0" xfId="0" applyNumberFormat="1" applyFill="1"/>
    <xf numFmtId="166" fontId="0" fillId="8" borderId="0" xfId="0" applyNumberFormat="1" applyFill="1"/>
    <xf numFmtId="0" fontId="4" fillId="8" borderId="0" xfId="0" applyFont="1" applyFill="1"/>
    <xf numFmtId="164" fontId="4" fillId="0" borderId="0" xfId="0" applyNumberFormat="1" applyFont="1" applyFill="1"/>
    <xf numFmtId="0" fontId="0" fillId="9" borderId="0" xfId="0" applyFont="1" applyFill="1" applyAlignment="1" applyProtection="1">
      <alignment horizontal="right"/>
      <protection locked="0"/>
    </xf>
    <xf numFmtId="3" fontId="9" fillId="10" borderId="0" xfId="0" applyNumberFormat="1" applyFont="1" applyFill="1"/>
    <xf numFmtId="0" fontId="9" fillId="0" borderId="0" xfId="0" applyFont="1"/>
    <xf numFmtId="44" fontId="9" fillId="0" borderId="0" xfId="0" applyNumberFormat="1" applyFont="1"/>
    <xf numFmtId="44" fontId="10" fillId="0" borderId="0" xfId="0" applyNumberFormat="1" applyFont="1"/>
    <xf numFmtId="0" fontId="9" fillId="7" borderId="0" xfId="0" applyFont="1" applyFill="1"/>
    <xf numFmtId="0" fontId="9" fillId="8" borderId="0" xfId="0" applyFont="1" applyFill="1"/>
    <xf numFmtId="3" fontId="9" fillId="0" borderId="0" xfId="0" applyNumberFormat="1" applyFont="1" applyFill="1"/>
    <xf numFmtId="3" fontId="0" fillId="0" borderId="0" xfId="0" applyNumberFormat="1" applyFill="1"/>
    <xf numFmtId="0" fontId="0" fillId="11" borderId="0" xfId="0" applyFill="1" applyAlignment="1">
      <alignment horizontal="right"/>
    </xf>
    <xf numFmtId="166" fontId="0" fillId="0" borderId="0" xfId="0" applyNumberFormat="1" applyFill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4"/>
  <sheetViews>
    <sheetView tabSelected="1" topLeftCell="Z101" zoomScale="65" zoomScaleNormal="65" workbookViewId="0">
      <selection activeCell="AN108" sqref="AN108:AN109"/>
    </sheetView>
  </sheetViews>
  <sheetFormatPr defaultRowHeight="14.4" x14ac:dyDescent="0.3"/>
  <cols>
    <col min="1" max="1" width="10.88671875" hidden="1" customWidth="1"/>
    <col min="2" max="5" width="16" hidden="1" customWidth="1"/>
    <col min="6" max="7" width="4.109375" hidden="1" customWidth="1"/>
    <col min="8" max="8" width="16.109375" hidden="1" customWidth="1"/>
    <col min="9" max="9" width="10.6640625" hidden="1" customWidth="1"/>
    <col min="10" max="10" width="16" hidden="1" customWidth="1"/>
    <col min="11" max="11" width="2.6640625" hidden="1" customWidth="1"/>
    <col min="12" max="12" width="16" hidden="1" customWidth="1"/>
    <col min="13" max="15" width="2.6640625" hidden="1" customWidth="1"/>
    <col min="16" max="17" width="16" hidden="1" customWidth="1"/>
    <col min="18" max="18" width="2.6640625" hidden="1" customWidth="1"/>
    <col min="19" max="21" width="16" hidden="1" customWidth="1"/>
    <col min="22" max="22" width="17" hidden="1" customWidth="1"/>
    <col min="23" max="23" width="10.88671875" bestFit="1" customWidth="1"/>
    <col min="24" max="24" width="12.44140625" bestFit="1" customWidth="1"/>
    <col min="25" max="25" width="20.44140625" customWidth="1"/>
    <col min="26" max="26" width="14.88671875" customWidth="1"/>
    <col min="27" max="27" width="25.5546875" style="2" bestFit="1" customWidth="1"/>
    <col min="28" max="28" width="9.5546875" bestFit="1" customWidth="1"/>
    <col min="29" max="29" width="25.5546875" bestFit="1" customWidth="1"/>
    <col min="30" max="30" width="8.6640625" bestFit="1" customWidth="1"/>
    <col min="31" max="31" width="25.5546875" bestFit="1" customWidth="1"/>
    <col min="32" max="32" width="14.109375" bestFit="1" customWidth="1"/>
    <col min="33" max="33" width="25.5546875" bestFit="1" customWidth="1"/>
    <col min="34" max="34" width="14.44140625" bestFit="1" customWidth="1"/>
    <col min="35" max="35" width="25.5546875" bestFit="1" customWidth="1"/>
    <col min="37" max="37" width="14.44140625" bestFit="1" customWidth="1"/>
    <col min="38" max="38" width="10" bestFit="1" customWidth="1"/>
    <col min="39" max="39" width="14.109375" bestFit="1" customWidth="1"/>
    <col min="40" max="40" width="34.6640625" bestFit="1" customWidth="1"/>
    <col min="41" max="41" width="14.6640625" bestFit="1" customWidth="1"/>
    <col min="42" max="42" width="12" bestFit="1" customWidth="1"/>
    <col min="43" max="43" width="21.33203125" bestFit="1" customWidth="1"/>
    <col min="44" max="44" width="6.6640625" bestFit="1" customWidth="1"/>
    <col min="45" max="45" width="18.109375" bestFit="1" customWidth="1"/>
    <col min="46" max="47" width="13.33203125" bestFit="1" customWidth="1"/>
    <col min="48" max="48" width="15.6640625" bestFit="1" customWidth="1"/>
    <col min="49" max="49" width="17.6640625" bestFit="1" customWidth="1"/>
    <col min="50" max="50" width="14.6640625" bestFit="1" customWidth="1"/>
    <col min="51" max="51" width="17" style="58" bestFit="1" customWidth="1"/>
    <col min="52" max="52" width="18.109375" bestFit="1" customWidth="1"/>
    <col min="53" max="54" width="14.6640625" bestFit="1" customWidth="1"/>
  </cols>
  <sheetData>
    <row r="1" spans="21:54" ht="25.8" x14ac:dyDescent="0.5">
      <c r="Y1" s="17" t="s">
        <v>45</v>
      </c>
      <c r="Z1" s="18"/>
      <c r="AA1" s="19"/>
      <c r="AB1" s="18"/>
      <c r="AC1" s="18"/>
      <c r="AH1" s="37">
        <f>AK110</f>
        <v>200000</v>
      </c>
    </row>
    <row r="2" spans="21:54" ht="28.8" x14ac:dyDescent="0.55000000000000004">
      <c r="AC2" s="31" t="s">
        <v>79</v>
      </c>
      <c r="AD2" s="32">
        <v>3</v>
      </c>
      <c r="AE2" s="23" t="s">
        <v>80</v>
      </c>
      <c r="AG2" s="26" t="s">
        <v>78</v>
      </c>
      <c r="AH2" s="27">
        <v>3</v>
      </c>
      <c r="AI2" s="26" t="str">
        <f>AG2</f>
        <v>Over years Save</v>
      </c>
    </row>
    <row r="3" spans="21:54" x14ac:dyDescent="0.3">
      <c r="AG3" s="5">
        <f>AH1*AH2</f>
        <v>600000</v>
      </c>
      <c r="AI3" s="5">
        <f>AG3</f>
        <v>600000</v>
      </c>
    </row>
    <row r="4" spans="21:54" x14ac:dyDescent="0.3">
      <c r="AC4" s="6" t="s">
        <v>29</v>
      </c>
      <c r="AE4" s="6" t="str">
        <f>"+ Business Val"</f>
        <v>+ Business Val</v>
      </c>
      <c r="AG4" s="6" t="s">
        <v>42</v>
      </c>
      <c r="AI4" s="6" t="str">
        <f>"+ Business Val"</f>
        <v>+ Business Val</v>
      </c>
      <c r="AK4" t="s">
        <v>108</v>
      </c>
    </row>
    <row r="5" spans="21:54" x14ac:dyDescent="0.3">
      <c r="W5" t="s">
        <v>123</v>
      </c>
      <c r="Y5" t="s">
        <v>0</v>
      </c>
      <c r="AA5" s="5" t="s">
        <v>14</v>
      </c>
      <c r="AB5" s="6"/>
      <c r="AC5" s="6" t="s">
        <v>26</v>
      </c>
      <c r="AE5" s="6" t="s">
        <v>27</v>
      </c>
      <c r="AG5" s="6" t="s">
        <v>28</v>
      </c>
      <c r="AI5" s="6" t="s">
        <v>67</v>
      </c>
      <c r="AK5" t="s">
        <v>109</v>
      </c>
      <c r="AS5">
        <v>11</v>
      </c>
      <c r="AT5">
        <v>12</v>
      </c>
      <c r="AU5">
        <v>13</v>
      </c>
      <c r="AV5">
        <v>14</v>
      </c>
      <c r="AW5">
        <v>15</v>
      </c>
      <c r="AX5">
        <v>16</v>
      </c>
      <c r="AY5" s="58">
        <v>17</v>
      </c>
      <c r="AZ5">
        <v>18</v>
      </c>
      <c r="BA5">
        <v>19</v>
      </c>
      <c r="BB5">
        <v>20</v>
      </c>
    </row>
    <row r="6" spans="21:54" x14ac:dyDescent="0.3">
      <c r="X6" s="1"/>
      <c r="Y6" s="1"/>
      <c r="Z6" s="1"/>
      <c r="AA6" s="3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t="s">
        <v>100</v>
      </c>
      <c r="AS6">
        <f>IF($AB$114=0,1,0)</f>
        <v>0</v>
      </c>
      <c r="AT6">
        <f>IF($AB$114=1,1,0)</f>
        <v>0</v>
      </c>
      <c r="AU6">
        <f>IF($AB$114=2,1,0)</f>
        <v>0</v>
      </c>
      <c r="AV6">
        <f>IF($AB$114=3,1,0)</f>
        <v>0</v>
      </c>
      <c r="AW6">
        <f>IF($AB$114=4,1,0)</f>
        <v>0</v>
      </c>
      <c r="AX6">
        <f>IF($AB$114=5,1,0)</f>
        <v>1</v>
      </c>
      <c r="AY6" s="58">
        <f>IF($AB$114=6,1,0)</f>
        <v>0</v>
      </c>
      <c r="AZ6">
        <f>IF($AB$114=7,1,0)</f>
        <v>0</v>
      </c>
      <c r="BA6">
        <f>IF($AB$114=8,1,0)</f>
        <v>0</v>
      </c>
      <c r="BB6">
        <f>IF($AB$114=9,1,0)</f>
        <v>0</v>
      </c>
    </row>
    <row r="7" spans="21:54" x14ac:dyDescent="0.3">
      <c r="W7" s="2">
        <f>AC7</f>
        <v>0</v>
      </c>
      <c r="Y7" t="s">
        <v>1</v>
      </c>
      <c r="AA7" s="2">
        <v>950</v>
      </c>
      <c r="AC7" s="21">
        <v>0</v>
      </c>
      <c r="AD7" s="23"/>
      <c r="AE7" s="21">
        <v>0</v>
      </c>
      <c r="AF7" s="23"/>
      <c r="AG7" s="21">
        <v>0</v>
      </c>
      <c r="AH7" s="23"/>
      <c r="AI7" s="21">
        <v>0</v>
      </c>
      <c r="AK7" s="2">
        <v>0</v>
      </c>
      <c r="AL7" s="2"/>
      <c r="AN7" t="s">
        <v>71</v>
      </c>
      <c r="AQ7" t="s">
        <v>77</v>
      </c>
      <c r="AR7">
        <v>0.05</v>
      </c>
      <c r="AS7">
        <v>2014</v>
      </c>
      <c r="AT7">
        <f>AS7+1</f>
        <v>2015</v>
      </c>
      <c r="AU7">
        <f t="shared" ref="AU7:BB7" si="0">AT7+1</f>
        <v>2016</v>
      </c>
      <c r="AV7">
        <f t="shared" si="0"/>
        <v>2017</v>
      </c>
      <c r="AW7">
        <f t="shared" si="0"/>
        <v>2018</v>
      </c>
      <c r="AX7">
        <f t="shared" si="0"/>
        <v>2019</v>
      </c>
      <c r="AY7" s="58">
        <f t="shared" si="0"/>
        <v>2020</v>
      </c>
      <c r="AZ7">
        <f t="shared" si="0"/>
        <v>2021</v>
      </c>
      <c r="BA7">
        <f t="shared" si="0"/>
        <v>2022</v>
      </c>
      <c r="BB7">
        <f t="shared" si="0"/>
        <v>2023</v>
      </c>
    </row>
    <row r="8" spans="21:54" x14ac:dyDescent="0.3">
      <c r="W8" s="2">
        <f t="shared" ref="W8:W41" si="1">AC8</f>
        <v>216.66666666666666</v>
      </c>
      <c r="Y8" t="s">
        <v>15</v>
      </c>
      <c r="AA8" s="2">
        <f>2600/12</f>
        <v>216.66666666666666</v>
      </c>
      <c r="AC8" s="2">
        <f>AA8</f>
        <v>216.66666666666666</v>
      </c>
      <c r="AE8" s="2">
        <f t="shared" ref="AE8:AI8" si="2">AC8</f>
        <v>216.66666666666666</v>
      </c>
      <c r="AF8" s="2"/>
      <c r="AG8" s="28">
        <f>AA8*((1+$Z$84)^$AH$2)</f>
        <v>236.75751666666665</v>
      </c>
      <c r="AH8" s="2"/>
      <c r="AI8" s="2">
        <f t="shared" si="2"/>
        <v>236.75751666666665</v>
      </c>
      <c r="AK8" s="2">
        <f>14000/12</f>
        <v>1166.6666666666667</v>
      </c>
      <c r="AL8" s="2"/>
      <c r="AM8" s="6" t="s">
        <v>72</v>
      </c>
      <c r="AN8" s="6" t="s">
        <v>73</v>
      </c>
      <c r="AO8" s="6" t="s">
        <v>74</v>
      </c>
      <c r="AP8" s="6" t="s">
        <v>75</v>
      </c>
      <c r="AQ8" s="6" t="s">
        <v>76</v>
      </c>
    </row>
    <row r="9" spans="21:54" x14ac:dyDescent="0.3">
      <c r="W9" s="2">
        <f t="shared" si="1"/>
        <v>141.66666666666666</v>
      </c>
      <c r="Y9" t="s">
        <v>20</v>
      </c>
      <c r="AA9" s="2">
        <f>1700/12</f>
        <v>141.66666666666666</v>
      </c>
      <c r="AC9" s="2">
        <f t="shared" ref="AC9:AC25" si="3">AA9</f>
        <v>141.66666666666666</v>
      </c>
      <c r="AE9" s="2">
        <f t="shared" ref="AE9:AE16" si="4">AC9</f>
        <v>141.66666666666666</v>
      </c>
      <c r="AF9" s="2"/>
      <c r="AG9" s="28">
        <f t="shared" ref="AG9:AG41" si="5">AA9*((1+$Z$84)^$AH$2)</f>
        <v>154.80299166666666</v>
      </c>
      <c r="AH9" s="2"/>
      <c r="AI9" s="2">
        <f t="shared" ref="AI9:AI16" si="6">AG9</f>
        <v>154.80299166666666</v>
      </c>
      <c r="AK9" s="2">
        <f>1200/12</f>
        <v>100</v>
      </c>
      <c r="AL9" s="2"/>
      <c r="AM9">
        <v>54</v>
      </c>
      <c r="AN9">
        <v>2014</v>
      </c>
      <c r="AO9" s="29">
        <v>62000</v>
      </c>
      <c r="AP9">
        <v>1.1599999999999999E-2</v>
      </c>
      <c r="AQ9">
        <v>11</v>
      </c>
    </row>
    <row r="10" spans="21:54" x14ac:dyDescent="0.3">
      <c r="U10" s="2">
        <f>AA10*2</f>
        <v>400</v>
      </c>
      <c r="W10" s="2">
        <f t="shared" si="1"/>
        <v>200</v>
      </c>
      <c r="Y10" t="s">
        <v>18</v>
      </c>
      <c r="AA10" s="2">
        <v>200</v>
      </c>
      <c r="AC10" s="2">
        <f t="shared" si="3"/>
        <v>200</v>
      </c>
      <c r="AE10" s="2">
        <f t="shared" si="4"/>
        <v>200</v>
      </c>
      <c r="AF10" s="2"/>
      <c r="AG10" s="28">
        <f t="shared" si="5"/>
        <v>218.5454</v>
      </c>
      <c r="AH10" s="2"/>
      <c r="AI10" s="2">
        <f t="shared" si="6"/>
        <v>218.5454</v>
      </c>
      <c r="AK10" s="2">
        <v>300</v>
      </c>
      <c r="AL10" s="2"/>
      <c r="AM10">
        <f>AM9+1</f>
        <v>55</v>
      </c>
      <c r="AN10">
        <f>AN9+1</f>
        <v>2015</v>
      </c>
      <c r="AO10" s="29">
        <f>AO9*(1+$AR$7)</f>
        <v>65100</v>
      </c>
      <c r="AP10">
        <v>1.24E-2</v>
      </c>
      <c r="AQ10">
        <f>AQ9+1</f>
        <v>12</v>
      </c>
    </row>
    <row r="11" spans="21:54" x14ac:dyDescent="0.3">
      <c r="U11" s="2">
        <f>AA11*1</f>
        <v>300</v>
      </c>
      <c r="W11" s="2">
        <v>250</v>
      </c>
      <c r="Y11" t="s">
        <v>2</v>
      </c>
      <c r="AA11" s="2">
        <v>300</v>
      </c>
      <c r="AC11" s="2">
        <f t="shared" si="3"/>
        <v>300</v>
      </c>
      <c r="AE11" s="2">
        <f t="shared" si="4"/>
        <v>300</v>
      </c>
      <c r="AF11" s="2"/>
      <c r="AG11" s="28">
        <f t="shared" si="5"/>
        <v>327.81810000000002</v>
      </c>
      <c r="AH11" s="2"/>
      <c r="AI11" s="2">
        <f t="shared" si="6"/>
        <v>327.81810000000002</v>
      </c>
      <c r="AK11" s="2"/>
      <c r="AL11" s="2"/>
      <c r="AM11">
        <f t="shared" ref="AM11:AM15" si="7">AM10+1</f>
        <v>56</v>
      </c>
      <c r="AN11">
        <f t="shared" ref="AN11:AN15" si="8">AN10+1</f>
        <v>2016</v>
      </c>
      <c r="AO11" s="29">
        <f t="shared" ref="AO11:AO18" si="9">AO10*(1+$AR$7)</f>
        <v>68355</v>
      </c>
      <c r="AP11">
        <v>1.32E-2</v>
      </c>
      <c r="AQ11">
        <f t="shared" ref="AQ11:AQ17" si="10">AQ10+1</f>
        <v>13</v>
      </c>
    </row>
    <row r="12" spans="21:54" x14ac:dyDescent="0.3">
      <c r="U12" s="2">
        <f>AA12*1</f>
        <v>400</v>
      </c>
      <c r="W12" s="2">
        <v>300</v>
      </c>
      <c r="Y12" t="s">
        <v>3</v>
      </c>
      <c r="AA12" s="2">
        <v>400</v>
      </c>
      <c r="AC12" s="2">
        <f t="shared" si="3"/>
        <v>400</v>
      </c>
      <c r="AE12" s="2">
        <f t="shared" si="4"/>
        <v>400</v>
      </c>
      <c r="AF12" s="2"/>
      <c r="AG12" s="28">
        <f t="shared" si="5"/>
        <v>437.0908</v>
      </c>
      <c r="AH12" s="2"/>
      <c r="AI12" s="2">
        <f t="shared" si="6"/>
        <v>437.0908</v>
      </c>
      <c r="AK12" s="2">
        <v>800</v>
      </c>
      <c r="AL12" s="2"/>
      <c r="AM12">
        <f t="shared" si="7"/>
        <v>57</v>
      </c>
      <c r="AN12">
        <f t="shared" si="8"/>
        <v>2017</v>
      </c>
      <c r="AO12" s="29">
        <f t="shared" si="9"/>
        <v>71772.75</v>
      </c>
      <c r="AP12">
        <v>1.4E-2</v>
      </c>
      <c r="AQ12">
        <f t="shared" si="10"/>
        <v>14</v>
      </c>
    </row>
    <row r="13" spans="21:54" x14ac:dyDescent="0.3">
      <c r="U13" s="2"/>
      <c r="W13" s="2">
        <f t="shared" si="1"/>
        <v>300</v>
      </c>
      <c r="Y13" t="s">
        <v>4</v>
      </c>
      <c r="AA13" s="2">
        <v>300</v>
      </c>
      <c r="AC13" s="2">
        <f t="shared" si="3"/>
        <v>300</v>
      </c>
      <c r="AE13" s="2">
        <f t="shared" si="4"/>
        <v>300</v>
      </c>
      <c r="AF13" s="2"/>
      <c r="AG13" s="28">
        <f t="shared" si="5"/>
        <v>327.81810000000002</v>
      </c>
      <c r="AH13" s="2"/>
      <c r="AI13" s="2">
        <f t="shared" si="6"/>
        <v>327.81810000000002</v>
      </c>
      <c r="AK13" s="2">
        <v>300</v>
      </c>
      <c r="AL13" s="2"/>
      <c r="AM13">
        <f t="shared" si="7"/>
        <v>58</v>
      </c>
      <c r="AN13">
        <f t="shared" si="8"/>
        <v>2018</v>
      </c>
      <c r="AO13" s="29">
        <f t="shared" si="9"/>
        <v>75361.387499999997</v>
      </c>
      <c r="AP13">
        <v>1.52E-2</v>
      </c>
      <c r="AQ13">
        <f t="shared" si="10"/>
        <v>15</v>
      </c>
    </row>
    <row r="14" spans="21:54" x14ac:dyDescent="0.3">
      <c r="U14" s="2">
        <v>300</v>
      </c>
      <c r="W14" s="2">
        <f t="shared" si="1"/>
        <v>58</v>
      </c>
      <c r="Y14" t="s">
        <v>5</v>
      </c>
      <c r="AA14" s="2">
        <v>58</v>
      </c>
      <c r="AC14" s="2">
        <f t="shared" si="3"/>
        <v>58</v>
      </c>
      <c r="AE14" s="2">
        <f t="shared" si="4"/>
        <v>58</v>
      </c>
      <c r="AF14" s="2"/>
      <c r="AG14" s="28">
        <f t="shared" si="5"/>
        <v>63.378166</v>
      </c>
      <c r="AH14" s="2"/>
      <c r="AI14" s="2">
        <f t="shared" si="6"/>
        <v>63.378166</v>
      </c>
      <c r="AK14" s="2"/>
      <c r="AL14" s="2"/>
      <c r="AM14">
        <f t="shared" si="7"/>
        <v>59</v>
      </c>
      <c r="AN14">
        <f t="shared" si="8"/>
        <v>2019</v>
      </c>
      <c r="AO14" s="29">
        <f t="shared" si="9"/>
        <v>79129.456875000003</v>
      </c>
      <c r="AP14">
        <v>1.6400000000000001E-2</v>
      </c>
      <c r="AQ14">
        <f t="shared" si="10"/>
        <v>16</v>
      </c>
    </row>
    <row r="15" spans="21:54" x14ac:dyDescent="0.3">
      <c r="W15" s="2">
        <f t="shared" si="1"/>
        <v>25</v>
      </c>
      <c r="Y15" t="s">
        <v>19</v>
      </c>
      <c r="AA15" s="2">
        <f>300/12</f>
        <v>25</v>
      </c>
      <c r="AC15" s="2">
        <f t="shared" si="3"/>
        <v>25</v>
      </c>
      <c r="AE15" s="2">
        <f t="shared" si="4"/>
        <v>25</v>
      </c>
      <c r="AF15" s="2"/>
      <c r="AG15" s="28">
        <f t="shared" si="5"/>
        <v>27.318175</v>
      </c>
      <c r="AH15" s="2"/>
      <c r="AI15" s="2">
        <f t="shared" si="6"/>
        <v>27.318175</v>
      </c>
      <c r="AK15" s="2">
        <v>100</v>
      </c>
      <c r="AL15" s="2"/>
      <c r="AM15">
        <f t="shared" si="7"/>
        <v>60</v>
      </c>
      <c r="AN15">
        <f t="shared" si="8"/>
        <v>2020</v>
      </c>
      <c r="AO15" s="29">
        <f t="shared" si="9"/>
        <v>83085.929718750005</v>
      </c>
      <c r="AP15">
        <v>1.7600000000000001E-2</v>
      </c>
      <c r="AQ15">
        <f t="shared" si="10"/>
        <v>17</v>
      </c>
      <c r="AS15" s="29">
        <f>AP9*AQ9*(AO9*(1-$AR$7))</f>
        <v>7515.6399999999994</v>
      </c>
      <c r="AT15" s="29">
        <f>AP10*AQ10*(AO10*(1-$AR$7))</f>
        <v>9202.5360000000001</v>
      </c>
      <c r="AU15" s="29">
        <f>AP11*AQ11*(AO11*(1-$AR$7))</f>
        <v>11143.232099999999</v>
      </c>
      <c r="AV15" s="29">
        <f>AP12*AQ12*AO12</f>
        <v>14067.459000000001</v>
      </c>
      <c r="AW15" s="29">
        <f>AP13*AQ13*AO13</f>
        <v>17182.396349999999</v>
      </c>
      <c r="AX15" s="29">
        <f>AP14*AQ14*AO14</f>
        <v>20763.569484000003</v>
      </c>
      <c r="AY15" s="59">
        <f>AP15*AQ15*AO15</f>
        <v>24859.310171850004</v>
      </c>
    </row>
    <row r="16" spans="21:54" x14ac:dyDescent="0.3">
      <c r="W16" s="2">
        <v>1200</v>
      </c>
      <c r="Y16" t="s">
        <v>9</v>
      </c>
      <c r="AA16" s="2">
        <v>1400</v>
      </c>
      <c r="AC16" s="2">
        <f t="shared" si="3"/>
        <v>1400</v>
      </c>
      <c r="AE16" s="2">
        <f t="shared" si="4"/>
        <v>1400</v>
      </c>
      <c r="AF16" s="2"/>
      <c r="AG16" s="28">
        <f t="shared" si="5"/>
        <v>1529.8178</v>
      </c>
      <c r="AH16" s="2"/>
      <c r="AI16" s="2">
        <f t="shared" si="6"/>
        <v>1529.8178</v>
      </c>
      <c r="AK16" s="2"/>
      <c r="AL16" s="2"/>
      <c r="AM16">
        <f t="shared" ref="AM16:AM18" si="11">AM15+1</f>
        <v>61</v>
      </c>
      <c r="AN16">
        <f t="shared" ref="AN16:AN18" si="12">AN15+1</f>
        <v>2021</v>
      </c>
      <c r="AO16" s="29">
        <f t="shared" si="9"/>
        <v>87240.226204687511</v>
      </c>
      <c r="AP16">
        <v>1.8800000000000001E-2</v>
      </c>
      <c r="AQ16">
        <f t="shared" si="10"/>
        <v>18</v>
      </c>
      <c r="AW16" s="30"/>
      <c r="AX16" s="30">
        <f>AX15-$AW$15</f>
        <v>3581.1731340000042</v>
      </c>
      <c r="AY16" s="60">
        <f>AY15-$AW$15</f>
        <v>7676.9138218500048</v>
      </c>
      <c r="AZ16" s="29">
        <f>AP16*AQ16*AO16</f>
        <v>29522.092547666256</v>
      </c>
    </row>
    <row r="17" spans="21:54" x14ac:dyDescent="0.3">
      <c r="W17" s="2">
        <v>0</v>
      </c>
      <c r="Y17" t="s">
        <v>46</v>
      </c>
      <c r="AA17" s="2">
        <v>300</v>
      </c>
      <c r="AC17" s="2">
        <f t="shared" si="3"/>
        <v>300</v>
      </c>
      <c r="AE17" s="2">
        <f t="shared" ref="AE17:AE26" si="13">AC17</f>
        <v>300</v>
      </c>
      <c r="AF17" s="2"/>
      <c r="AG17" s="28">
        <f t="shared" si="5"/>
        <v>327.81810000000002</v>
      </c>
      <c r="AH17" s="2"/>
      <c r="AI17" s="2">
        <f t="shared" ref="AI17:AI26" si="14">AG17</f>
        <v>327.81810000000002</v>
      </c>
      <c r="AK17" s="2"/>
      <c r="AL17" s="2"/>
      <c r="AM17">
        <f t="shared" si="11"/>
        <v>62</v>
      </c>
      <c r="AN17">
        <f t="shared" si="12"/>
        <v>2022</v>
      </c>
      <c r="AO17" s="29">
        <f t="shared" si="9"/>
        <v>91602.237514921886</v>
      </c>
      <c r="AP17">
        <v>0.02</v>
      </c>
      <c r="AQ17">
        <f t="shared" si="10"/>
        <v>19</v>
      </c>
      <c r="AZ17" s="30">
        <f>AZ16-$AW$15</f>
        <v>12339.696197666257</v>
      </c>
      <c r="BA17" s="29">
        <f>AP17*AQ17*AO17</f>
        <v>34808.850255670317</v>
      </c>
    </row>
    <row r="18" spans="21:54" x14ac:dyDescent="0.3">
      <c r="W18" s="2">
        <f t="shared" si="1"/>
        <v>10</v>
      </c>
      <c r="Y18" t="s">
        <v>50</v>
      </c>
      <c r="AA18" s="2">
        <v>10</v>
      </c>
      <c r="AC18" s="2">
        <f t="shared" si="3"/>
        <v>10</v>
      </c>
      <c r="AE18" s="2">
        <f t="shared" si="13"/>
        <v>10</v>
      </c>
      <c r="AF18" s="2"/>
      <c r="AG18" s="28">
        <f t="shared" si="5"/>
        <v>10.92727</v>
      </c>
      <c r="AH18" s="2"/>
      <c r="AI18" s="2">
        <f t="shared" si="14"/>
        <v>10.92727</v>
      </c>
      <c r="AK18" s="2"/>
      <c r="AL18" s="2"/>
      <c r="AM18">
        <f t="shared" si="11"/>
        <v>63</v>
      </c>
      <c r="AN18">
        <f t="shared" si="12"/>
        <v>2023</v>
      </c>
      <c r="AO18" s="29">
        <f t="shared" si="9"/>
        <v>96182.34939066798</v>
      </c>
      <c r="AP18">
        <v>0.02</v>
      </c>
      <c r="AQ18">
        <f t="shared" ref="AQ18" si="15">AQ17+1</f>
        <v>20</v>
      </c>
      <c r="BA18" s="30">
        <f>BA17-$AW$15</f>
        <v>17626.453905670318</v>
      </c>
      <c r="BB18" s="29">
        <f>AP18*AQ18*AO18</f>
        <v>38472.939756267195</v>
      </c>
    </row>
    <row r="19" spans="21:54" x14ac:dyDescent="0.3">
      <c r="W19" s="2">
        <f t="shared" si="1"/>
        <v>0</v>
      </c>
      <c r="Y19" t="s">
        <v>6</v>
      </c>
      <c r="AA19" s="2">
        <v>0</v>
      </c>
      <c r="AC19" s="2">
        <f t="shared" si="3"/>
        <v>0</v>
      </c>
      <c r="AE19" s="2">
        <f t="shared" ref="AE19" si="16">AC19</f>
        <v>0</v>
      </c>
      <c r="AF19" s="2"/>
      <c r="AG19" s="28">
        <f t="shared" si="5"/>
        <v>0</v>
      </c>
      <c r="AH19" s="2"/>
      <c r="AI19" s="2">
        <f t="shared" ref="AI19" si="17">AG19</f>
        <v>0</v>
      </c>
      <c r="AK19" s="2"/>
      <c r="AL19" s="2"/>
      <c r="BB19" s="30">
        <f>BB18-$AW$15</f>
        <v>21290.543406267196</v>
      </c>
    </row>
    <row r="20" spans="21:54" x14ac:dyDescent="0.3">
      <c r="W20" s="2">
        <f t="shared" si="1"/>
        <v>0</v>
      </c>
      <c r="Y20" t="s">
        <v>6</v>
      </c>
      <c r="AA20" s="2">
        <v>0</v>
      </c>
      <c r="AC20" s="2">
        <f t="shared" si="3"/>
        <v>0</v>
      </c>
      <c r="AE20" s="2">
        <f t="shared" si="13"/>
        <v>0</v>
      </c>
      <c r="AF20" s="2"/>
      <c r="AG20" s="28">
        <f t="shared" si="5"/>
        <v>0</v>
      </c>
      <c r="AH20" s="2"/>
      <c r="AI20" s="2">
        <f t="shared" si="14"/>
        <v>0</v>
      </c>
      <c r="AK20" s="2"/>
      <c r="AL20" s="2"/>
    </row>
    <row r="21" spans="21:54" x14ac:dyDescent="0.3">
      <c r="W21" s="2">
        <f t="shared" si="1"/>
        <v>0</v>
      </c>
      <c r="Y21" t="s">
        <v>6</v>
      </c>
      <c r="AA21" s="2">
        <v>0</v>
      </c>
      <c r="AC21" s="2">
        <f t="shared" si="3"/>
        <v>0</v>
      </c>
      <c r="AE21" s="2">
        <f t="shared" si="13"/>
        <v>0</v>
      </c>
      <c r="AF21" s="2"/>
      <c r="AG21" s="28">
        <f t="shared" si="5"/>
        <v>0</v>
      </c>
      <c r="AH21" s="2"/>
      <c r="AI21" s="2">
        <f t="shared" si="14"/>
        <v>0</v>
      </c>
      <c r="AK21" s="2"/>
      <c r="AL21" s="2"/>
    </row>
    <row r="22" spans="21:54" x14ac:dyDescent="0.3">
      <c r="W22" s="2">
        <f t="shared" si="1"/>
        <v>0</v>
      </c>
      <c r="Y22" t="s">
        <v>6</v>
      </c>
      <c r="AA22" s="2">
        <v>0</v>
      </c>
      <c r="AC22" s="2">
        <f t="shared" si="3"/>
        <v>0</v>
      </c>
      <c r="AE22" s="2">
        <f t="shared" ref="AE22:AE23" si="18">AC22</f>
        <v>0</v>
      </c>
      <c r="AF22" s="2"/>
      <c r="AG22" s="28">
        <f t="shared" si="5"/>
        <v>0</v>
      </c>
      <c r="AH22" s="2"/>
      <c r="AI22" s="2">
        <f t="shared" ref="AI22:AI23" si="19">AG22</f>
        <v>0</v>
      </c>
      <c r="AK22" s="2"/>
      <c r="AL22" s="2"/>
    </row>
    <row r="23" spans="21:54" x14ac:dyDescent="0.3">
      <c r="W23" s="2">
        <f t="shared" si="1"/>
        <v>0</v>
      </c>
      <c r="Y23" t="s">
        <v>6</v>
      </c>
      <c r="AA23" s="2">
        <v>0</v>
      </c>
      <c r="AC23" s="2">
        <f t="shared" si="3"/>
        <v>0</v>
      </c>
      <c r="AE23" s="2">
        <f t="shared" si="18"/>
        <v>0</v>
      </c>
      <c r="AF23" s="2"/>
      <c r="AG23" s="28">
        <f t="shared" si="5"/>
        <v>0</v>
      </c>
      <c r="AH23" s="2"/>
      <c r="AI23" s="2">
        <f t="shared" si="19"/>
        <v>0</v>
      </c>
      <c r="AK23" s="2"/>
      <c r="AL23" s="2"/>
    </row>
    <row r="24" spans="21:54" x14ac:dyDescent="0.3">
      <c r="W24" s="2">
        <f t="shared" si="1"/>
        <v>0</v>
      </c>
      <c r="Y24" t="s">
        <v>6</v>
      </c>
      <c r="AA24" s="2">
        <v>0</v>
      </c>
      <c r="AC24" s="2">
        <f t="shared" si="3"/>
        <v>0</v>
      </c>
      <c r="AE24" s="2">
        <f t="shared" ref="AE24" si="20">AC24</f>
        <v>0</v>
      </c>
      <c r="AF24" s="2"/>
      <c r="AG24" s="28">
        <f t="shared" si="5"/>
        <v>0</v>
      </c>
      <c r="AH24" s="2"/>
      <c r="AI24" s="2">
        <f t="shared" ref="AI24" si="21">AG24</f>
        <v>0</v>
      </c>
      <c r="AK24" s="2"/>
      <c r="AL24" s="2"/>
    </row>
    <row r="25" spans="21:54" x14ac:dyDescent="0.3">
      <c r="W25" s="2">
        <f t="shared" si="1"/>
        <v>0</v>
      </c>
      <c r="Y25" t="s">
        <v>6</v>
      </c>
      <c r="AA25" s="2">
        <v>0</v>
      </c>
      <c r="AC25" s="2">
        <f t="shared" si="3"/>
        <v>0</v>
      </c>
      <c r="AE25" s="2">
        <f t="shared" si="13"/>
        <v>0</v>
      </c>
      <c r="AF25" s="2"/>
      <c r="AG25" s="28">
        <f t="shared" si="5"/>
        <v>0</v>
      </c>
      <c r="AH25" s="2"/>
      <c r="AI25" s="2">
        <f t="shared" si="14"/>
        <v>0</v>
      </c>
      <c r="AK25" s="2"/>
      <c r="AL25" s="2"/>
    </row>
    <row r="26" spans="21:54" x14ac:dyDescent="0.3">
      <c r="W26" s="2">
        <f t="shared" si="1"/>
        <v>0</v>
      </c>
      <c r="Y26" s="45" t="s">
        <v>121</v>
      </c>
      <c r="AA26" s="37">
        <v>0</v>
      </c>
      <c r="AB26" s="7">
        <f>SUM(AA7:AA26)</f>
        <v>4301.3333333333339</v>
      </c>
      <c r="AC26" s="37">
        <f t="shared" ref="AC26" si="22">AA26</f>
        <v>0</v>
      </c>
      <c r="AD26" s="7">
        <f>SUM(AC7:AC26)</f>
        <v>3351.333333333333</v>
      </c>
      <c r="AE26" s="37">
        <f t="shared" si="13"/>
        <v>0</v>
      </c>
      <c r="AF26" s="7">
        <f>SUM(AE7:AE26)</f>
        <v>3351.333333333333</v>
      </c>
      <c r="AG26" s="55">
        <f t="shared" si="5"/>
        <v>0</v>
      </c>
      <c r="AH26" s="7">
        <f>SUM(AG7:AG26)</f>
        <v>3662.0924193333335</v>
      </c>
      <c r="AI26" s="37">
        <f t="shared" si="14"/>
        <v>0</v>
      </c>
      <c r="AJ26" s="7">
        <f>SUM(AI7:AI26)</f>
        <v>3662.0924193333335</v>
      </c>
      <c r="AK26" s="37">
        <v>0</v>
      </c>
      <c r="AL26" s="2"/>
    </row>
    <row r="27" spans="21:54" x14ac:dyDescent="0.3">
      <c r="W27" s="2">
        <f t="shared" si="1"/>
        <v>0</v>
      </c>
      <c r="Y27" s="11" t="s">
        <v>44</v>
      </c>
      <c r="Z27" s="11"/>
      <c r="AA27" s="12"/>
      <c r="AB27" s="11"/>
      <c r="AC27" s="12"/>
      <c r="AD27" s="11"/>
      <c r="AE27" s="12"/>
      <c r="AF27" s="11"/>
      <c r="AG27" s="12"/>
      <c r="AH27" s="11"/>
      <c r="AI27" s="12"/>
      <c r="AJ27" s="11"/>
      <c r="AK27" s="2"/>
      <c r="AL27" s="2"/>
    </row>
    <row r="28" spans="21:54" x14ac:dyDescent="0.3">
      <c r="W28" s="2">
        <f t="shared" si="1"/>
        <v>200</v>
      </c>
      <c r="Y28" s="9" t="s">
        <v>43</v>
      </c>
      <c r="Z28" s="9"/>
      <c r="AA28" s="10">
        <v>200</v>
      </c>
      <c r="AB28" s="9"/>
      <c r="AC28" s="10">
        <f>AA28</f>
        <v>200</v>
      </c>
      <c r="AD28" s="9"/>
      <c r="AE28" s="10">
        <f>AA28</f>
        <v>200</v>
      </c>
      <c r="AF28" s="9"/>
      <c r="AG28" s="10">
        <f t="shared" si="5"/>
        <v>218.5454</v>
      </c>
      <c r="AH28" s="9"/>
      <c r="AI28" s="10">
        <f>AG28</f>
        <v>218.5454</v>
      </c>
      <c r="AJ28" s="9"/>
      <c r="AK28" s="2"/>
      <c r="AL28" s="2"/>
    </row>
    <row r="29" spans="21:54" x14ac:dyDescent="0.3">
      <c r="U29">
        <v>300</v>
      </c>
      <c r="W29" s="2">
        <f t="shared" si="1"/>
        <v>100</v>
      </c>
      <c r="Y29" s="9" t="s">
        <v>49</v>
      </c>
      <c r="Z29" s="9"/>
      <c r="AA29" s="10">
        <v>100</v>
      </c>
      <c r="AB29" s="9"/>
      <c r="AC29" s="10">
        <f t="shared" ref="AC29:AC44" si="23">AA29</f>
        <v>100</v>
      </c>
      <c r="AD29" s="9"/>
      <c r="AE29" s="10">
        <f t="shared" ref="AE29:AE42" si="24">AA29</f>
        <v>100</v>
      </c>
      <c r="AF29" s="9"/>
      <c r="AG29" s="10">
        <f t="shared" si="5"/>
        <v>109.2727</v>
      </c>
      <c r="AH29" s="9"/>
      <c r="AI29" s="10">
        <f t="shared" ref="AI29:AI42" si="25">AG29</f>
        <v>109.2727</v>
      </c>
      <c r="AJ29" s="9"/>
      <c r="AK29" s="2"/>
      <c r="AL29" s="2"/>
    </row>
    <row r="30" spans="21:54" x14ac:dyDescent="0.3">
      <c r="W30" s="2">
        <v>100</v>
      </c>
      <c r="Y30" s="9" t="s">
        <v>17</v>
      </c>
      <c r="Z30" s="9"/>
      <c r="AA30" s="10">
        <v>300</v>
      </c>
      <c r="AB30" s="9"/>
      <c r="AC30" s="10">
        <f t="shared" si="23"/>
        <v>300</v>
      </c>
      <c r="AD30" s="9"/>
      <c r="AE30" s="10">
        <f t="shared" si="24"/>
        <v>300</v>
      </c>
      <c r="AF30" s="9"/>
      <c r="AG30" s="10">
        <f t="shared" si="5"/>
        <v>327.81810000000002</v>
      </c>
      <c r="AH30" s="9"/>
      <c r="AI30" s="10">
        <f t="shared" si="25"/>
        <v>327.81810000000002</v>
      </c>
      <c r="AJ30" s="9"/>
      <c r="AK30" s="2"/>
      <c r="AL30" s="2"/>
    </row>
    <row r="31" spans="21:54" x14ac:dyDescent="0.3">
      <c r="W31" s="2">
        <v>50</v>
      </c>
      <c r="Y31" s="9" t="s">
        <v>8</v>
      </c>
      <c r="Z31" s="9"/>
      <c r="AA31" s="10">
        <v>150</v>
      </c>
      <c r="AB31" s="9"/>
      <c r="AC31" s="10">
        <f t="shared" si="23"/>
        <v>150</v>
      </c>
      <c r="AD31" s="9"/>
      <c r="AE31" s="10">
        <f t="shared" si="24"/>
        <v>150</v>
      </c>
      <c r="AF31" s="9"/>
      <c r="AG31" s="10">
        <f t="shared" si="5"/>
        <v>163.90905000000001</v>
      </c>
      <c r="AH31" s="9"/>
      <c r="AI31" s="10">
        <f t="shared" si="25"/>
        <v>163.90905000000001</v>
      </c>
      <c r="AJ31" s="9"/>
      <c r="AK31" s="2"/>
      <c r="AL31" s="2"/>
    </row>
    <row r="32" spans="21:54" x14ac:dyDescent="0.3">
      <c r="W32" s="2">
        <v>1200</v>
      </c>
      <c r="Y32" s="9" t="s">
        <v>7</v>
      </c>
      <c r="Z32" s="9"/>
      <c r="AA32" s="10">
        <v>1600</v>
      </c>
      <c r="AB32" s="9"/>
      <c r="AC32" s="10">
        <f t="shared" si="23"/>
        <v>1600</v>
      </c>
      <c r="AD32" s="9"/>
      <c r="AE32" s="10">
        <f t="shared" si="24"/>
        <v>1600</v>
      </c>
      <c r="AF32" s="9"/>
      <c r="AG32" s="10">
        <f t="shared" si="5"/>
        <v>1748.3632</v>
      </c>
      <c r="AH32" s="9"/>
      <c r="AI32" s="10">
        <f t="shared" si="25"/>
        <v>1748.3632</v>
      </c>
      <c r="AJ32" s="9"/>
      <c r="AK32" s="2"/>
      <c r="AL32" s="2"/>
    </row>
    <row r="33" spans="21:40" x14ac:dyDescent="0.3">
      <c r="W33" s="2">
        <v>200</v>
      </c>
      <c r="Y33" s="9" t="s">
        <v>48</v>
      </c>
      <c r="Z33" s="9"/>
      <c r="AA33" s="10">
        <v>300</v>
      </c>
      <c r="AB33" s="9"/>
      <c r="AC33" s="10">
        <f t="shared" si="23"/>
        <v>300</v>
      </c>
      <c r="AD33" s="9"/>
      <c r="AE33" s="10">
        <f t="shared" ref="AE33" si="26">AA33</f>
        <v>300</v>
      </c>
      <c r="AF33" s="9"/>
      <c r="AG33" s="10">
        <f t="shared" si="5"/>
        <v>327.81810000000002</v>
      </c>
      <c r="AH33" s="9"/>
      <c r="AI33" s="10">
        <f t="shared" si="25"/>
        <v>327.81810000000002</v>
      </c>
      <c r="AJ33" s="9"/>
      <c r="AK33" s="2"/>
      <c r="AL33" s="2"/>
    </row>
    <row r="34" spans="21:40" x14ac:dyDescent="0.3">
      <c r="W34" s="2">
        <v>100</v>
      </c>
      <c r="Y34" s="9" t="s">
        <v>10</v>
      </c>
      <c r="Z34" s="9"/>
      <c r="AA34" s="10">
        <v>350</v>
      </c>
      <c r="AB34" s="9"/>
      <c r="AC34" s="10">
        <f t="shared" si="23"/>
        <v>350</v>
      </c>
      <c r="AD34" s="9"/>
      <c r="AE34" s="10">
        <f t="shared" si="24"/>
        <v>350</v>
      </c>
      <c r="AF34" s="9"/>
      <c r="AG34" s="10">
        <f t="shared" si="5"/>
        <v>382.45445000000001</v>
      </c>
      <c r="AH34" s="9"/>
      <c r="AI34" s="10">
        <f t="shared" si="25"/>
        <v>382.45445000000001</v>
      </c>
      <c r="AJ34" s="9"/>
      <c r="AK34" s="2"/>
      <c r="AL34" s="2"/>
    </row>
    <row r="35" spans="21:40" x14ac:dyDescent="0.3">
      <c r="U35">
        <v>600</v>
      </c>
      <c r="W35" s="2">
        <v>300</v>
      </c>
      <c r="Y35" s="9" t="s">
        <v>23</v>
      </c>
      <c r="Z35" s="9"/>
      <c r="AA35" s="10">
        <v>500</v>
      </c>
      <c r="AB35" s="9"/>
      <c r="AC35" s="10">
        <f t="shared" si="23"/>
        <v>500</v>
      </c>
      <c r="AD35" s="9"/>
      <c r="AE35" s="10">
        <f t="shared" si="24"/>
        <v>500</v>
      </c>
      <c r="AF35" s="9"/>
      <c r="AG35" s="10">
        <f t="shared" si="5"/>
        <v>546.36350000000004</v>
      </c>
      <c r="AH35" s="9"/>
      <c r="AI35" s="10">
        <f t="shared" si="25"/>
        <v>546.36350000000004</v>
      </c>
      <c r="AJ35" s="9"/>
      <c r="AK35" s="2"/>
      <c r="AL35" s="2"/>
    </row>
    <row r="36" spans="21:40" x14ac:dyDescent="0.3">
      <c r="W36" s="2">
        <v>300</v>
      </c>
      <c r="Y36" s="9" t="s">
        <v>11</v>
      </c>
      <c r="Z36" s="9"/>
      <c r="AA36" s="10">
        <v>500</v>
      </c>
      <c r="AB36" s="9"/>
      <c r="AC36" s="10">
        <f t="shared" si="23"/>
        <v>500</v>
      </c>
      <c r="AD36" s="9"/>
      <c r="AE36" s="10">
        <f t="shared" si="24"/>
        <v>500</v>
      </c>
      <c r="AF36" s="9"/>
      <c r="AG36" s="10">
        <f t="shared" si="5"/>
        <v>546.36350000000004</v>
      </c>
      <c r="AH36" s="9"/>
      <c r="AI36" s="10">
        <f t="shared" si="25"/>
        <v>546.36350000000004</v>
      </c>
      <c r="AJ36" s="9"/>
      <c r="AK36" s="2"/>
      <c r="AL36" s="2"/>
    </row>
    <row r="37" spans="21:40" x14ac:dyDescent="0.3">
      <c r="W37" s="2">
        <f t="shared" si="1"/>
        <v>500</v>
      </c>
      <c r="Y37" s="9" t="s">
        <v>12</v>
      </c>
      <c r="Z37" s="9"/>
      <c r="AA37" s="10">
        <f>6000/12</f>
        <v>500</v>
      </c>
      <c r="AB37" s="9"/>
      <c r="AC37" s="10">
        <f t="shared" si="23"/>
        <v>500</v>
      </c>
      <c r="AD37" s="9"/>
      <c r="AE37" s="10">
        <f t="shared" si="24"/>
        <v>500</v>
      </c>
      <c r="AF37" s="9"/>
      <c r="AG37" s="10">
        <f t="shared" si="5"/>
        <v>546.36350000000004</v>
      </c>
      <c r="AH37" s="9"/>
      <c r="AI37" s="10">
        <f t="shared" si="25"/>
        <v>546.36350000000004</v>
      </c>
      <c r="AJ37" s="9"/>
      <c r="AK37" s="2"/>
      <c r="AL37" s="2"/>
    </row>
    <row r="38" spans="21:40" x14ac:dyDescent="0.3">
      <c r="W38" s="2">
        <v>150</v>
      </c>
      <c r="Y38" s="9" t="s">
        <v>47</v>
      </c>
      <c r="Z38" s="9"/>
      <c r="AA38" s="10">
        <v>300</v>
      </c>
      <c r="AB38" s="9"/>
      <c r="AC38" s="10">
        <f t="shared" si="23"/>
        <v>300</v>
      </c>
      <c r="AD38" s="9"/>
      <c r="AE38" s="10">
        <f t="shared" ref="AE38" si="27">AA38</f>
        <v>300</v>
      </c>
      <c r="AF38" s="9"/>
      <c r="AG38" s="10">
        <f t="shared" si="5"/>
        <v>327.81810000000002</v>
      </c>
      <c r="AH38" s="9"/>
      <c r="AI38" s="10">
        <f t="shared" si="25"/>
        <v>327.81810000000002</v>
      </c>
      <c r="AJ38" s="9"/>
      <c r="AK38" s="2"/>
      <c r="AL38" s="2"/>
    </row>
    <row r="39" spans="21:40" x14ac:dyDescent="0.3">
      <c r="W39" s="2">
        <v>50</v>
      </c>
      <c r="Y39" s="9" t="s">
        <v>21</v>
      </c>
      <c r="Z39" s="9"/>
      <c r="AA39" s="10">
        <v>150</v>
      </c>
      <c r="AB39" s="9"/>
      <c r="AC39" s="10">
        <f t="shared" si="23"/>
        <v>150</v>
      </c>
      <c r="AD39" s="9"/>
      <c r="AE39" s="10">
        <f t="shared" si="24"/>
        <v>150</v>
      </c>
      <c r="AF39" s="9"/>
      <c r="AG39" s="10">
        <f t="shared" si="5"/>
        <v>163.90905000000001</v>
      </c>
      <c r="AH39" s="9"/>
      <c r="AI39" s="10">
        <f t="shared" si="25"/>
        <v>163.90905000000001</v>
      </c>
      <c r="AJ39" s="9"/>
      <c r="AK39" s="2"/>
      <c r="AL39" s="2"/>
    </row>
    <row r="40" spans="21:40" x14ac:dyDescent="0.3">
      <c r="W40" s="2">
        <f t="shared" si="1"/>
        <v>300</v>
      </c>
      <c r="Y40" s="9" t="s">
        <v>24</v>
      </c>
      <c r="Z40" s="9"/>
      <c r="AA40" s="10">
        <v>300</v>
      </c>
      <c r="AB40" s="9"/>
      <c r="AC40" s="10">
        <f t="shared" si="23"/>
        <v>300</v>
      </c>
      <c r="AD40" s="9"/>
      <c r="AE40" s="10">
        <f t="shared" si="24"/>
        <v>300</v>
      </c>
      <c r="AF40" s="9"/>
      <c r="AG40" s="10">
        <f t="shared" si="5"/>
        <v>327.81810000000002</v>
      </c>
      <c r="AH40" s="9"/>
      <c r="AI40" s="10">
        <f t="shared" si="25"/>
        <v>327.81810000000002</v>
      </c>
      <c r="AJ40" s="9"/>
      <c r="AK40" s="2"/>
      <c r="AL40" s="2"/>
    </row>
    <row r="41" spans="21:40" x14ac:dyDescent="0.3">
      <c r="W41" s="2">
        <f t="shared" si="1"/>
        <v>500</v>
      </c>
      <c r="Y41" s="9" t="s">
        <v>22</v>
      </c>
      <c r="Z41" s="9"/>
      <c r="AA41" s="10">
        <v>500</v>
      </c>
      <c r="AB41" s="9"/>
      <c r="AC41" s="10">
        <f t="shared" si="23"/>
        <v>500</v>
      </c>
      <c r="AD41" s="9"/>
      <c r="AE41" s="10">
        <f t="shared" si="24"/>
        <v>500</v>
      </c>
      <c r="AF41" s="9"/>
      <c r="AG41" s="10">
        <f t="shared" si="5"/>
        <v>546.36350000000004</v>
      </c>
      <c r="AH41" s="9"/>
      <c r="AI41" s="10">
        <f t="shared" si="25"/>
        <v>546.36350000000004</v>
      </c>
      <c r="AJ41" s="9"/>
      <c r="AK41" s="2"/>
      <c r="AL41" s="2"/>
    </row>
    <row r="42" spans="21:40" x14ac:dyDescent="0.3">
      <c r="U42">
        <v>600</v>
      </c>
      <c r="W42" s="2">
        <v>300</v>
      </c>
      <c r="Y42" s="9" t="s">
        <v>13</v>
      </c>
      <c r="Z42" s="9"/>
      <c r="AA42" s="10">
        <v>500</v>
      </c>
      <c r="AB42" s="13">
        <f>SUM(AA28:AA42)</f>
        <v>6250</v>
      </c>
      <c r="AC42" s="10">
        <f t="shared" si="23"/>
        <v>500</v>
      </c>
      <c r="AD42" s="13">
        <f>SUM(AC28:AC42)</f>
        <v>6250</v>
      </c>
      <c r="AE42" s="10">
        <f t="shared" si="24"/>
        <v>500</v>
      </c>
      <c r="AF42" s="13">
        <f>SUM(AE28:AE42)</f>
        <v>6250</v>
      </c>
      <c r="AG42" s="10">
        <f>AA42*((1+$Z$84)^$AH$2)</f>
        <v>546.36350000000004</v>
      </c>
      <c r="AH42" s="13">
        <f>SUM(AG28:AG42)</f>
        <v>6829.5437500000025</v>
      </c>
      <c r="AI42" s="10">
        <f t="shared" si="25"/>
        <v>546.36350000000004</v>
      </c>
      <c r="AJ42" s="10">
        <f>SUM(AI28:AI42)</f>
        <v>6829.5437500000025</v>
      </c>
      <c r="AK42" s="2">
        <v>500</v>
      </c>
      <c r="AL42" s="2"/>
    </row>
    <row r="43" spans="21:40" x14ac:dyDescent="0.3">
      <c r="W43" s="10">
        <f>SUM(W7:W42)*0.1</f>
        <v>705.13333333333333</v>
      </c>
      <c r="Y43" s="9" t="s">
        <v>16</v>
      </c>
      <c r="Z43" s="9"/>
      <c r="AA43" s="10">
        <f>IF(AA69*0.1&gt;AB42*0.1,AB42*0.15,AA69*0.1)</f>
        <v>937.5</v>
      </c>
      <c r="AB43" s="9"/>
      <c r="AC43" s="10">
        <f t="shared" si="23"/>
        <v>937.5</v>
      </c>
      <c r="AD43" s="9"/>
      <c r="AE43" s="10">
        <f>IF(AE69*0.1&gt;AF42*0.1,AF42*0.15,AE69*0.1)</f>
        <v>937.5</v>
      </c>
      <c r="AF43" s="9"/>
      <c r="AG43" s="10">
        <f>IF(AG69*0.1&gt;AH42*0.1,AH42*0.15,AG69*0.1)</f>
        <v>1024.4315625000004</v>
      </c>
      <c r="AH43" s="9"/>
      <c r="AI43" s="10">
        <f>IF(AI69*0.1&gt;AJ42*0.1,AJ42*0.15,AI69*0.1)</f>
        <v>1024.4315625000004</v>
      </c>
      <c r="AJ43" s="14"/>
      <c r="AK43" s="2"/>
      <c r="AL43" s="2"/>
    </row>
    <row r="44" spans="21:40" x14ac:dyDescent="0.3">
      <c r="W44" s="2"/>
      <c r="Y44" s="9"/>
      <c r="Z44" s="9"/>
      <c r="AA44" s="10">
        <v>0</v>
      </c>
      <c r="AB44" s="9"/>
      <c r="AC44" s="10">
        <f t="shared" si="23"/>
        <v>0</v>
      </c>
      <c r="AD44" s="9"/>
      <c r="AE44" s="10">
        <f t="shared" ref="AE44:AI44" si="28">AC44</f>
        <v>0</v>
      </c>
      <c r="AF44" s="9"/>
      <c r="AG44" s="10">
        <f t="shared" si="28"/>
        <v>0</v>
      </c>
      <c r="AH44" s="9"/>
      <c r="AI44" s="10">
        <f t="shared" si="28"/>
        <v>0</v>
      </c>
      <c r="AJ44" s="9"/>
      <c r="AK44" s="2"/>
      <c r="AL44" s="2"/>
    </row>
    <row r="45" spans="21:40" x14ac:dyDescent="0.3">
      <c r="AA45" s="4" t="s">
        <v>25</v>
      </c>
      <c r="AC45" s="4" t="s">
        <v>25</v>
      </c>
      <c r="AE45" s="4" t="s">
        <v>25</v>
      </c>
      <c r="AG45" s="4" t="s">
        <v>25</v>
      </c>
      <c r="AI45" s="4" t="s">
        <v>25</v>
      </c>
      <c r="AK45" s="2"/>
      <c r="AL45" s="2"/>
    </row>
    <row r="46" spans="21:40" x14ac:dyDescent="0.3">
      <c r="U46" s="2">
        <f>SUM(U10:U42)</f>
        <v>2900</v>
      </c>
      <c r="W46" s="2">
        <f>SUM(W7:W44)</f>
        <v>7756.4666666666662</v>
      </c>
      <c r="X46" s="2">
        <f>W46*12</f>
        <v>93077.599999999991</v>
      </c>
      <c r="AA46" s="2">
        <f>SUM(AA7:AA44)</f>
        <v>11488.833333333334</v>
      </c>
      <c r="AB46" s="7">
        <f>AA46*12</f>
        <v>137866</v>
      </c>
      <c r="AC46" s="2">
        <f>SUM(AC7:AC44)</f>
        <v>10538.833333333332</v>
      </c>
      <c r="AD46" s="7">
        <f>AC46*12</f>
        <v>126465.99999999999</v>
      </c>
      <c r="AE46" s="2">
        <f>SUM(AE7:AE44)</f>
        <v>10538.833333333332</v>
      </c>
      <c r="AF46" s="7">
        <f>AE46*12</f>
        <v>126465.99999999999</v>
      </c>
      <c r="AG46" s="2">
        <f>SUM(AG7:AG44)</f>
        <v>11516.067731833335</v>
      </c>
      <c r="AH46" s="7">
        <f>AG46*12</f>
        <v>138192.81278200002</v>
      </c>
      <c r="AI46" s="2">
        <f>SUM(AI7:AI44)</f>
        <v>11516.067731833335</v>
      </c>
      <c r="AJ46" s="7">
        <f>AI46*12</f>
        <v>138192.81278200002</v>
      </c>
      <c r="AK46" s="2">
        <f>SUM(AK7:AK45)</f>
        <v>3266.666666666667</v>
      </c>
      <c r="AL46" s="2">
        <f>AK46*12</f>
        <v>39200</v>
      </c>
      <c r="AM46">
        <v>1</v>
      </c>
      <c r="AN46">
        <f>IF(OR(AH112&lt;&gt;"Y",AH112&lt;&gt;"y"),1,0)</f>
        <v>0</v>
      </c>
    </row>
    <row r="47" spans="21:40" x14ac:dyDescent="0.3">
      <c r="W47" s="2">
        <f>SUM(W7:W42)*12</f>
        <v>84616</v>
      </c>
      <c r="AB47" s="15"/>
      <c r="AD47" s="15"/>
      <c r="AF47" s="15"/>
      <c r="AH47" s="15"/>
      <c r="AJ47" s="15"/>
    </row>
    <row r="48" spans="21:40" x14ac:dyDescent="0.3">
      <c r="U48" s="2">
        <f>U46*12</f>
        <v>34800</v>
      </c>
      <c r="Y48" t="s">
        <v>30</v>
      </c>
      <c r="AB48" s="15"/>
      <c r="AD48" s="15"/>
      <c r="AF48" s="15"/>
      <c r="AH48" s="15"/>
      <c r="AJ48" s="15"/>
    </row>
    <row r="49" spans="25:42" x14ac:dyDescent="0.3">
      <c r="Y49" t="s">
        <v>31</v>
      </c>
      <c r="AA49" s="2">
        <v>0</v>
      </c>
      <c r="AB49" s="15"/>
      <c r="AC49" s="2"/>
      <c r="AD49" s="15"/>
      <c r="AE49" s="2"/>
      <c r="AF49" s="15"/>
      <c r="AG49" s="2">
        <f>IF(AH2&gt;=5,1903,0)</f>
        <v>0</v>
      </c>
      <c r="AH49" s="15"/>
      <c r="AI49" s="2">
        <f>AG49</f>
        <v>0</v>
      </c>
      <c r="AJ49" s="15"/>
    </row>
    <row r="50" spans="25:42" x14ac:dyDescent="0.3">
      <c r="Y50" t="s">
        <v>32</v>
      </c>
      <c r="AA50" s="2">
        <v>0</v>
      </c>
      <c r="AB50" s="15"/>
      <c r="AC50" s="2"/>
      <c r="AD50" s="15"/>
      <c r="AE50" s="2"/>
      <c r="AF50" s="2"/>
      <c r="AG50" s="2">
        <f>IF(AH2&gt;=10,1000,0)</f>
        <v>0</v>
      </c>
      <c r="AH50" s="2"/>
      <c r="AI50" s="2">
        <f t="shared" ref="AI50" si="29">AG50</f>
        <v>0</v>
      </c>
      <c r="AJ50" s="15"/>
    </row>
    <row r="51" spans="25:42" x14ac:dyDescent="0.3">
      <c r="Y51" t="s">
        <v>33</v>
      </c>
      <c r="AA51" s="2">
        <v>0</v>
      </c>
      <c r="AB51" s="15"/>
      <c r="AC51" s="2"/>
      <c r="AD51" s="15"/>
      <c r="AE51" s="2"/>
      <c r="AF51" s="15"/>
      <c r="AG51" s="2">
        <f>IF(AH2=6, ((AV15*AV6)+ (AW15*AW6)  +  (AX15*AX6)  +  (AY15*AY6)  +  (AZ16*AZ6)  +  (BA17*BA6))/12,0)</f>
        <v>0</v>
      </c>
      <c r="AH51" s="15"/>
      <c r="AI51" s="2">
        <f>20000/12</f>
        <v>1666.6666666666667</v>
      </c>
      <c r="AJ51" s="15"/>
    </row>
    <row r="52" spans="25:42" x14ac:dyDescent="0.3">
      <c r="AB52" s="15"/>
      <c r="AC52" s="2"/>
      <c r="AD52" s="15"/>
      <c r="AE52" s="2"/>
      <c r="AF52" s="15"/>
      <c r="AG52" s="2"/>
      <c r="AH52" s="15"/>
      <c r="AI52" s="2"/>
      <c r="AJ52" s="15"/>
    </row>
    <row r="53" spans="25:42" x14ac:dyDescent="0.3">
      <c r="AA53" s="4" t="s">
        <v>25</v>
      </c>
      <c r="AB53" s="15"/>
      <c r="AC53" s="4" t="s">
        <v>25</v>
      </c>
      <c r="AD53" s="15"/>
      <c r="AE53" s="4" t="s">
        <v>25</v>
      </c>
      <c r="AF53" s="15"/>
      <c r="AG53" s="4" t="s">
        <v>25</v>
      </c>
      <c r="AH53" s="15"/>
      <c r="AI53" s="4" t="s">
        <v>25</v>
      </c>
      <c r="AJ53" s="15"/>
    </row>
    <row r="54" spans="25:42" x14ac:dyDescent="0.3">
      <c r="AA54" s="2">
        <f>SUM(AA49:AA51)</f>
        <v>0</v>
      </c>
      <c r="AB54" s="16">
        <f>AA54*12</f>
        <v>0</v>
      </c>
      <c r="AC54" s="2">
        <f>SUM(AC49:AC51)</f>
        <v>0</v>
      </c>
      <c r="AD54" s="16">
        <f>AC54*12</f>
        <v>0</v>
      </c>
      <c r="AE54" s="2">
        <f>SUM(AE49:AE51)</f>
        <v>0</v>
      </c>
      <c r="AF54" s="16">
        <f>AE54*12</f>
        <v>0</v>
      </c>
      <c r="AG54" s="2">
        <f>SUM(AG49:AG51)</f>
        <v>0</v>
      </c>
      <c r="AH54" s="16">
        <f>AG54*12</f>
        <v>0</v>
      </c>
      <c r="AI54" s="2">
        <f>SUM(AI49:AI51)</f>
        <v>1666.6666666666667</v>
      </c>
      <c r="AJ54" s="16">
        <f>AI54*12</f>
        <v>20000</v>
      </c>
    </row>
    <row r="55" spans="25:42" x14ac:dyDescent="0.3">
      <c r="AB55" s="15"/>
      <c r="AC55" s="2"/>
      <c r="AD55" s="15"/>
      <c r="AE55" s="2"/>
      <c r="AF55" s="15"/>
      <c r="AG55" s="2"/>
      <c r="AH55" s="15"/>
      <c r="AI55" s="2"/>
      <c r="AJ55" s="15"/>
    </row>
    <row r="56" spans="25:42" x14ac:dyDescent="0.3">
      <c r="Y56" t="s">
        <v>34</v>
      </c>
      <c r="AA56" s="2">
        <f>AA54-AA46</f>
        <v>-11488.833333333334</v>
      </c>
      <c r="AB56" s="15"/>
      <c r="AC56" s="2">
        <f>AC54-AC46</f>
        <v>-10538.833333333332</v>
      </c>
      <c r="AD56" s="15"/>
      <c r="AE56" s="2">
        <f>AE54-AE46</f>
        <v>-10538.833333333332</v>
      </c>
      <c r="AF56" s="15"/>
      <c r="AG56" s="2">
        <f>AG54-AG46</f>
        <v>-11516.067731833335</v>
      </c>
      <c r="AH56" s="15"/>
      <c r="AI56" s="2">
        <f>AI54-AI46</f>
        <v>-9849.4010651666686</v>
      </c>
      <c r="AJ56" s="15"/>
    </row>
    <row r="57" spans="25:42" x14ac:dyDescent="0.3">
      <c r="AB57" s="15"/>
      <c r="AD57" s="15"/>
      <c r="AF57" s="15"/>
      <c r="AH57" s="15"/>
      <c r="AJ57" s="15"/>
    </row>
    <row r="58" spans="25:42" x14ac:dyDescent="0.3">
      <c r="Y58" t="s">
        <v>68</v>
      </c>
      <c r="AB58" s="15"/>
      <c r="AC58" s="2"/>
      <c r="AD58" s="15"/>
      <c r="AE58" s="2"/>
      <c r="AF58" s="15"/>
      <c r="AG58" s="2"/>
      <c r="AH58" s="15"/>
      <c r="AI58" s="2"/>
      <c r="AJ58" s="15"/>
      <c r="AK58" t="s">
        <v>131</v>
      </c>
    </row>
    <row r="59" spans="25:42" x14ac:dyDescent="0.3">
      <c r="Y59" t="s">
        <v>35</v>
      </c>
      <c r="AA59" s="2">
        <f>2267000+250000</f>
        <v>2517000</v>
      </c>
      <c r="AB59" s="15"/>
      <c r="AC59" s="2">
        <v>2350000</v>
      </c>
      <c r="AD59" s="15"/>
      <c r="AE59" s="2">
        <f>AA59</f>
        <v>2517000</v>
      </c>
      <c r="AF59" s="15"/>
      <c r="AG59" s="2">
        <f>(AA59*((1+Z66)^5))+((AG3/5)*((1+Z66)^5-1)/Z66*(1+Z66))</f>
        <v>5289636.7017984027</v>
      </c>
      <c r="AH59" s="15"/>
      <c r="AI59" s="2">
        <f>AG59</f>
        <v>5289636.7017984027</v>
      </c>
      <c r="AJ59" s="15"/>
      <c r="AK59" t="s">
        <v>133</v>
      </c>
    </row>
    <row r="60" spans="25:42" x14ac:dyDescent="0.3">
      <c r="Y60" t="s">
        <v>36</v>
      </c>
      <c r="AA60" s="2">
        <f>300000*((1+0.015)^AB114)</f>
        <v>323185.20116531226</v>
      </c>
      <c r="AB60" s="15"/>
      <c r="AC60" s="2">
        <f>AA60</f>
        <v>323185.20116531226</v>
      </c>
      <c r="AD60" s="15"/>
      <c r="AE60" s="2">
        <f t="shared" ref="AE60:AI60" si="30">AC60</f>
        <v>323185.20116531226</v>
      </c>
      <c r="AF60" s="16"/>
      <c r="AG60" s="2">
        <f t="shared" si="30"/>
        <v>323185.20116531226</v>
      </c>
      <c r="AH60" s="16"/>
      <c r="AI60" s="2">
        <f t="shared" si="30"/>
        <v>323185.20116531226</v>
      </c>
      <c r="AJ60" s="15"/>
      <c r="AK60" t="s">
        <v>132</v>
      </c>
      <c r="AM60" t="s">
        <v>134</v>
      </c>
    </row>
    <row r="61" spans="25:42" x14ac:dyDescent="0.3">
      <c r="Y61" t="s">
        <v>37</v>
      </c>
      <c r="AA61" s="2">
        <v>0</v>
      </c>
      <c r="AB61" s="15"/>
      <c r="AC61" s="2">
        <f>AA61</f>
        <v>0</v>
      </c>
      <c r="AD61" s="15"/>
      <c r="AE61" s="2">
        <f>AC61</f>
        <v>0</v>
      </c>
      <c r="AF61" s="15"/>
      <c r="AG61" s="2">
        <f>AE61</f>
        <v>0</v>
      </c>
      <c r="AH61" s="15"/>
      <c r="AI61" s="2">
        <f>AG61</f>
        <v>0</v>
      </c>
      <c r="AJ61" s="15"/>
      <c r="AK61" s="2">
        <f>200000*1.38</f>
        <v>276000</v>
      </c>
      <c r="AM61">
        <f>150000*1.38</f>
        <v>206999.99999999997</v>
      </c>
      <c r="AN61">
        <v>25</v>
      </c>
      <c r="AO61">
        <f>AM61/AN61</f>
        <v>8279.9999999999982</v>
      </c>
      <c r="AP61" s="2">
        <f>AK61-AM61</f>
        <v>69000.000000000029</v>
      </c>
    </row>
    <row r="62" spans="25:42" x14ac:dyDescent="0.3">
      <c r="Y62" t="s">
        <v>38</v>
      </c>
      <c r="AA62" s="2">
        <v>0</v>
      </c>
      <c r="AB62" s="15"/>
      <c r="AC62" s="2">
        <v>0</v>
      </c>
      <c r="AD62" s="15"/>
      <c r="AE62" s="2">
        <v>600000</v>
      </c>
      <c r="AF62" s="15"/>
      <c r="AG62" s="2">
        <v>0</v>
      </c>
      <c r="AH62" s="15"/>
      <c r="AI62" s="2">
        <v>600000</v>
      </c>
      <c r="AJ62" s="15"/>
      <c r="AK62" s="2">
        <v>35000</v>
      </c>
      <c r="AL62" t="s">
        <v>138</v>
      </c>
      <c r="AM62">
        <v>0</v>
      </c>
    </row>
    <row r="63" spans="25:42" x14ac:dyDescent="0.3">
      <c r="Y63" t="s">
        <v>130</v>
      </c>
      <c r="AB63" s="15"/>
      <c r="AC63" s="2"/>
      <c r="AD63" s="15"/>
      <c r="AE63" s="2"/>
      <c r="AF63" s="15"/>
      <c r="AG63" s="2"/>
      <c r="AH63" s="15"/>
      <c r="AI63" s="2"/>
      <c r="AJ63" s="15"/>
      <c r="AK63" s="2">
        <v>400000</v>
      </c>
      <c r="AM63">
        <v>0</v>
      </c>
    </row>
    <row r="64" spans="25:42" x14ac:dyDescent="0.3">
      <c r="AA64" s="4" t="s">
        <v>25</v>
      </c>
      <c r="AB64" s="15"/>
      <c r="AC64" s="4" t="s">
        <v>25</v>
      </c>
      <c r="AD64" s="15"/>
      <c r="AE64" s="4" t="s">
        <v>25</v>
      </c>
      <c r="AF64" s="15"/>
      <c r="AG64" s="4" t="s">
        <v>25</v>
      </c>
      <c r="AH64" s="15"/>
      <c r="AI64" s="4" t="s">
        <v>25</v>
      </c>
      <c r="AJ64" s="15"/>
    </row>
    <row r="65" spans="25:36" x14ac:dyDescent="0.3">
      <c r="AA65" s="2">
        <f>SUM(AA59:AA63)</f>
        <v>2840185.2011653124</v>
      </c>
      <c r="AB65" s="15"/>
      <c r="AC65" s="2">
        <f>SUM(AC59:AC63)</f>
        <v>2673185.2011653124</v>
      </c>
      <c r="AD65" s="15"/>
      <c r="AE65" s="2">
        <f>SUM(AE59:AE63)</f>
        <v>3440185.2011653124</v>
      </c>
      <c r="AF65" s="15"/>
      <c r="AG65" s="2">
        <f>SUM(AG59:AG63)</f>
        <v>5612821.9029637147</v>
      </c>
      <c r="AH65" s="15"/>
      <c r="AI65" s="2">
        <f>SUM(AI59:AI63)</f>
        <v>6212821.9029637147</v>
      </c>
      <c r="AJ65" s="15"/>
    </row>
    <row r="66" spans="25:36" x14ac:dyDescent="0.3">
      <c r="Y66" t="s">
        <v>70</v>
      </c>
      <c r="Z66" s="8">
        <v>0.12</v>
      </c>
      <c r="AB66" s="15"/>
      <c r="AC66" s="2"/>
      <c r="AD66" s="15"/>
      <c r="AE66" s="2"/>
      <c r="AF66" s="15"/>
      <c r="AG66" s="2"/>
      <c r="AH66" s="15"/>
      <c r="AI66" s="2"/>
      <c r="AJ66" s="15"/>
    </row>
    <row r="67" spans="25:36" x14ac:dyDescent="0.3">
      <c r="Y67" t="s">
        <v>69</v>
      </c>
      <c r="Z67" s="8">
        <v>0.06</v>
      </c>
      <c r="AB67" s="15"/>
      <c r="AC67" s="2"/>
      <c r="AD67" s="15"/>
      <c r="AE67" s="2"/>
      <c r="AF67" s="15"/>
      <c r="AG67" s="2"/>
      <c r="AH67" s="15"/>
      <c r="AI67" s="2"/>
      <c r="AJ67" s="15"/>
    </row>
    <row r="68" spans="25:36" x14ac:dyDescent="0.3">
      <c r="AB68" s="15"/>
      <c r="AC68" s="2"/>
      <c r="AD68" s="15"/>
      <c r="AE68" s="2"/>
      <c r="AF68" s="15"/>
      <c r="AG68" s="2"/>
      <c r="AH68" s="15"/>
      <c r="AI68" s="2"/>
      <c r="AJ68" s="15"/>
    </row>
    <row r="69" spans="25:36" x14ac:dyDescent="0.3">
      <c r="Y69" t="s">
        <v>39</v>
      </c>
      <c r="AA69" s="2">
        <f>AA65*$Z$67/12</f>
        <v>14200.926005826563</v>
      </c>
      <c r="AB69" s="7">
        <f>AA69*12</f>
        <v>170411.11206991874</v>
      </c>
      <c r="AC69" s="2">
        <f>AC65*$Z$67/12</f>
        <v>13365.926005826563</v>
      </c>
      <c r="AD69" s="7">
        <f>AC69*12</f>
        <v>160391.11206991874</v>
      </c>
      <c r="AE69" s="2">
        <f>AE65*$Z$67/12</f>
        <v>17200.926005826561</v>
      </c>
      <c r="AF69" s="7">
        <f>AE69*12</f>
        <v>206411.11206991872</v>
      </c>
      <c r="AG69" s="2">
        <f>AG65*$Z$67/12</f>
        <v>28064.10951481857</v>
      </c>
      <c r="AH69" s="7">
        <f>AG69*12</f>
        <v>336769.31417782285</v>
      </c>
      <c r="AI69" s="2">
        <f>AI65*$Z$67/12</f>
        <v>31064.10951481857</v>
      </c>
      <c r="AJ69" s="7">
        <f>AI69*12</f>
        <v>372769.31417782285</v>
      </c>
    </row>
    <row r="70" spans="25:36" x14ac:dyDescent="0.3">
      <c r="AB70" s="15"/>
      <c r="AC70" s="2"/>
      <c r="AD70" s="15"/>
      <c r="AE70" s="2"/>
      <c r="AF70" s="15"/>
      <c r="AG70" s="2"/>
      <c r="AH70" s="15"/>
      <c r="AI70" s="2"/>
      <c r="AJ70" s="15"/>
    </row>
    <row r="71" spans="25:36" x14ac:dyDescent="0.3">
      <c r="AB71" s="15"/>
      <c r="AC71" s="2"/>
      <c r="AD71" s="15"/>
      <c r="AE71" s="2"/>
      <c r="AF71" s="15"/>
      <c r="AG71" s="2"/>
      <c r="AH71" s="15"/>
      <c r="AI71" s="2"/>
      <c r="AJ71" s="15"/>
    </row>
    <row r="72" spans="25:36" x14ac:dyDescent="0.3">
      <c r="Y72" t="s">
        <v>40</v>
      </c>
      <c r="AB72" s="15"/>
      <c r="AC72" s="2"/>
      <c r="AD72" s="15"/>
      <c r="AE72" s="2"/>
      <c r="AF72" s="15"/>
      <c r="AG72" s="2"/>
      <c r="AH72" s="15"/>
      <c r="AI72" s="2"/>
      <c r="AJ72" s="15"/>
    </row>
    <row r="73" spans="25:36" x14ac:dyDescent="0.3">
      <c r="Y73" t="s">
        <v>41</v>
      </c>
      <c r="AA73" s="2">
        <f>AA69+AA56</f>
        <v>2712.0926724932287</v>
      </c>
      <c r="AB73" s="7">
        <f>AA73*12</f>
        <v>32545.112069918745</v>
      </c>
      <c r="AC73" s="2">
        <f>AC69+AC56</f>
        <v>2827.0926724932306</v>
      </c>
      <c r="AD73" s="7">
        <f>AC73*12</f>
        <v>33925.112069918767</v>
      </c>
      <c r="AE73" s="2">
        <f>AE69+AE56</f>
        <v>6662.0926724932287</v>
      </c>
      <c r="AF73" s="7">
        <f>AE73*12</f>
        <v>79945.112069918745</v>
      </c>
      <c r="AG73" s="2">
        <f>AG69+AG56</f>
        <v>16548.041782985238</v>
      </c>
      <c r="AH73" s="7">
        <f>AG73*12</f>
        <v>198576.50139582285</v>
      </c>
      <c r="AI73" s="2">
        <f>AI69+AI56</f>
        <v>21214.708449651902</v>
      </c>
      <c r="AJ73" s="7">
        <f>AI73*12</f>
        <v>254576.50139582282</v>
      </c>
    </row>
    <row r="75" spans="25:36" x14ac:dyDescent="0.3">
      <c r="Y75" t="s">
        <v>51</v>
      </c>
      <c r="Z75" s="8">
        <v>0.02</v>
      </c>
      <c r="AA75" s="20"/>
    </row>
    <row r="77" spans="25:36" x14ac:dyDescent="0.3">
      <c r="Y77" t="s">
        <v>52</v>
      </c>
      <c r="AA77" s="2">
        <f>(1-$Z$75)*AA46</f>
        <v>11259.056666666667</v>
      </c>
      <c r="AC77" s="2">
        <f>(1-$Z$75)*AC46</f>
        <v>10328.056666666665</v>
      </c>
      <c r="AE77" s="2">
        <f>(1-$Z$75)*AE46</f>
        <v>10328.056666666665</v>
      </c>
      <c r="AG77" s="2">
        <f>(1-$Z$75)*AG46</f>
        <v>11285.746377196669</v>
      </c>
      <c r="AI77" s="2">
        <f>(1-$Z$75)*AI46</f>
        <v>11285.746377196669</v>
      </c>
    </row>
    <row r="78" spans="25:36" x14ac:dyDescent="0.3">
      <c r="AC78" s="2"/>
      <c r="AE78" s="2"/>
      <c r="AG78" s="2"/>
      <c r="AI78" s="2"/>
    </row>
    <row r="79" spans="25:36" x14ac:dyDescent="0.3">
      <c r="Y79" t="s">
        <v>53</v>
      </c>
      <c r="AA79" s="2">
        <f>AA46-AA77+AA73</f>
        <v>2941.8693391598954</v>
      </c>
      <c r="AB79" s="7">
        <f>AA79*12</f>
        <v>35302.432069918745</v>
      </c>
      <c r="AC79" s="2">
        <f>AC46-AC77+AC73</f>
        <v>3037.8693391598972</v>
      </c>
      <c r="AD79" s="7">
        <f>AC79*12</f>
        <v>36454.432069918767</v>
      </c>
      <c r="AE79" s="2">
        <f>AE46-AE77+AE73</f>
        <v>6872.8693391598954</v>
      </c>
      <c r="AF79" s="7">
        <f>AE79*12</f>
        <v>82474.432069918752</v>
      </c>
      <c r="AG79" s="2">
        <f>AG46-AG77+AG73</f>
        <v>16778.363137621905</v>
      </c>
      <c r="AH79" s="7">
        <f>AG79*12</f>
        <v>201340.35765146287</v>
      </c>
      <c r="AI79" s="2">
        <f>AI46-AI77+AI73</f>
        <v>21445.02980428857</v>
      </c>
      <c r="AJ79" s="7">
        <f>AI79*12</f>
        <v>257340.35765146284</v>
      </c>
    </row>
    <row r="81" spans="25:35" x14ac:dyDescent="0.3">
      <c r="Y81" t="s">
        <v>54</v>
      </c>
      <c r="AA81" s="2">
        <f>(AA69+AA54)*12</f>
        <v>170411.11206991874</v>
      </c>
      <c r="AC81" s="2">
        <f>(AC69+AC54)*12</f>
        <v>160391.11206991874</v>
      </c>
      <c r="AE81" s="2">
        <f>(AE69+AE54)*12</f>
        <v>206411.11206991872</v>
      </c>
      <c r="AG81" s="2">
        <f>(AG69+AG54)*12</f>
        <v>336769.31417782285</v>
      </c>
      <c r="AI81" s="2">
        <f>(AI69+AI54)*12</f>
        <v>392769.31417782285</v>
      </c>
    </row>
    <row r="84" spans="25:35" x14ac:dyDescent="0.3">
      <c r="Y84" t="s">
        <v>55</v>
      </c>
      <c r="Z84" s="8">
        <v>0.03</v>
      </c>
    </row>
    <row r="85" spans="25:35" x14ac:dyDescent="0.3">
      <c r="Y85" s="24" t="s">
        <v>61</v>
      </c>
      <c r="Z85" s="24"/>
      <c r="AA85" s="25">
        <f>AA46*12</f>
        <v>137866</v>
      </c>
      <c r="AB85" s="24"/>
      <c r="AC85" s="25">
        <f>AC46*12</f>
        <v>126465.99999999999</v>
      </c>
      <c r="AD85" s="24"/>
      <c r="AE85" s="25">
        <f>AE46*12</f>
        <v>126465.99999999999</v>
      </c>
      <c r="AF85" s="24"/>
      <c r="AG85" s="25">
        <f>AG46*12</f>
        <v>138192.81278200002</v>
      </c>
      <c r="AH85" s="24"/>
      <c r="AI85" s="25">
        <f>AI46*12</f>
        <v>138192.81278200002</v>
      </c>
    </row>
    <row r="87" spans="25:35" x14ac:dyDescent="0.3">
      <c r="Y87" t="s">
        <v>56</v>
      </c>
      <c r="Z87">
        <v>20</v>
      </c>
      <c r="AA87" s="2">
        <f>(AA46*12)*((1+$Z$84)^$Z$87)</f>
        <v>249001.33147893334</v>
      </c>
      <c r="AC87" s="2">
        <f>(AC46*12)*((1+$Z$84)^$Z$87)</f>
        <v>228411.663403702</v>
      </c>
      <c r="AE87" s="2">
        <f>(AE46*12)*((1+$Z$84)^$Z$87)</f>
        <v>228411.663403702</v>
      </c>
      <c r="AG87" s="2">
        <f>(AG46*12)*((1+$Z$84)^$Z$87)</f>
        <v>249591.59171613713</v>
      </c>
      <c r="AI87" s="2">
        <f>(AI46*12)*((1+$Z$84)^$Z$87)</f>
        <v>249591.59171613713</v>
      </c>
    </row>
    <row r="88" spans="25:35" x14ac:dyDescent="0.3">
      <c r="Y88" t="s">
        <v>57</v>
      </c>
    </row>
    <row r="91" spans="25:35" x14ac:dyDescent="0.3">
      <c r="Y91" t="s">
        <v>59</v>
      </c>
      <c r="Z91">
        <f>Z87</f>
        <v>20</v>
      </c>
      <c r="AA91" s="22">
        <f>AA65*((1+(AB79/AA65))^$Z$87)</f>
        <v>3636164.6398154404</v>
      </c>
      <c r="AC91" s="22">
        <f>AC65*((1+(AD79/AC65))^$Z$87)</f>
        <v>3504925.6072676168</v>
      </c>
      <c r="AE91" s="22">
        <f>AE65*((1+(AF79/AE65))^$Z$87)</f>
        <v>5525340.0685164407</v>
      </c>
      <c r="AG91" s="22">
        <f>AG65*((1+(AH79/AG65))^$Z$87)</f>
        <v>11357924.471514722</v>
      </c>
      <c r="AI91" s="22">
        <f>AI65*((1+(AJ79/AI65))^$Z$87)</f>
        <v>13989888.782870606</v>
      </c>
    </row>
    <row r="93" spans="25:35" x14ac:dyDescent="0.3">
      <c r="Y93" t="s">
        <v>58</v>
      </c>
      <c r="AA93" s="22">
        <f>AB79*((1+$Z$67)^$Z$87-1)/$Z$67*(1+$Z$67)</f>
        <v>1376538.0846919371</v>
      </c>
      <c r="AC93" s="22">
        <f>AD79*((1+$Z$67)^$Z$87-1)/$Z$67*(1+$Z$67)</f>
        <v>1421457.705822414</v>
      </c>
      <c r="AE93" s="22">
        <f>AF79*((1+$Z$67)^$Z$87-1)/$Z$67*(1+$Z$67)</f>
        <v>3215902.9874409032</v>
      </c>
      <c r="AG93" s="22">
        <f>AH79*((1+$Z$67)^$Z$87-1)/$Z$67*(1+$Z$67)</f>
        <v>7850809.534703319</v>
      </c>
      <c r="AI93" s="22">
        <f>AJ79*((1+$Z$67)^$Z$87-1)/$Z$67*(1+$Z$67)</f>
        <v>10034402.228545897</v>
      </c>
    </row>
    <row r="95" spans="25:35" x14ac:dyDescent="0.3">
      <c r="Y95" t="s">
        <v>60</v>
      </c>
      <c r="AA95" s="2">
        <f>AA91+AA93</f>
        <v>5012702.7245073775</v>
      </c>
      <c r="AC95" s="2">
        <f>AC91+AC93</f>
        <v>4926383.313090031</v>
      </c>
      <c r="AE95" s="2">
        <f>AE91+AE93</f>
        <v>8741243.0559573434</v>
      </c>
      <c r="AG95" s="2">
        <f>AG91+AG93</f>
        <v>19208734.006218042</v>
      </c>
      <c r="AI95" s="2">
        <f>AI91+AI93</f>
        <v>24024291.011416502</v>
      </c>
    </row>
    <row r="97" spans="1:49" x14ac:dyDescent="0.3">
      <c r="Y97" t="s">
        <v>62</v>
      </c>
    </row>
    <row r="98" spans="1:49" x14ac:dyDescent="0.3">
      <c r="Y98" t="s">
        <v>63</v>
      </c>
      <c r="AA98" s="2">
        <f>(AA54*12)*((1+$Z$84)^$Z$87)</f>
        <v>0</v>
      </c>
      <c r="AC98" s="2">
        <f>(AC54*12)*((1+$Z$84)^$Z$87)</f>
        <v>0</v>
      </c>
      <c r="AE98" s="2">
        <f>(AE54*12)*((1+$Z$84)^$Z$87)</f>
        <v>0</v>
      </c>
      <c r="AG98" s="2">
        <f>(AG54*12)*((1+$Z$84)^$Z$87)</f>
        <v>0</v>
      </c>
      <c r="AI98" s="2">
        <f>(AI54*12)*((1+$Z$84)^$Z$87)</f>
        <v>36122.224693388263</v>
      </c>
    </row>
    <row r="100" spans="1:49" x14ac:dyDescent="0.3">
      <c r="Y100" t="s">
        <v>64</v>
      </c>
      <c r="AA100" s="2">
        <f>AA98-AA87</f>
        <v>-249001.33147893334</v>
      </c>
      <c r="AC100" s="2">
        <f>AC98-AC87</f>
        <v>-228411.663403702</v>
      </c>
      <c r="AE100" s="2">
        <f>AE98-AE87</f>
        <v>-228411.663403702</v>
      </c>
      <c r="AG100" s="2">
        <f>AG98-AG87</f>
        <v>-249591.59171613713</v>
      </c>
      <c r="AI100" s="2">
        <f>AI98-AI87</f>
        <v>-213469.36702274886</v>
      </c>
      <c r="AP100" s="2"/>
    </row>
    <row r="102" spans="1:49" x14ac:dyDescent="0.3">
      <c r="Y102" t="s">
        <v>65</v>
      </c>
      <c r="AA102" s="2">
        <f>AA95*$Z$67</f>
        <v>300762.16347044264</v>
      </c>
      <c r="AC102" s="2">
        <f>AC95*$Z$67</f>
        <v>295582.99878540187</v>
      </c>
      <c r="AE102" s="2">
        <f>AE95*$Z$67</f>
        <v>524474.58335744054</v>
      </c>
      <c r="AG102" s="2">
        <f>AG95*$Z$67</f>
        <v>1152524.0403730825</v>
      </c>
      <c r="AI102" s="2">
        <f>AI95*$Z$67</f>
        <v>1441457.46068499</v>
      </c>
    </row>
    <row r="104" spans="1:49" x14ac:dyDescent="0.3">
      <c r="Y104" t="s">
        <v>66</v>
      </c>
      <c r="AA104" s="2">
        <f>AA102+AA100</f>
        <v>51760.831991509302</v>
      </c>
      <c r="AC104" s="2">
        <f>AC102+AC100</f>
        <v>67171.335381699872</v>
      </c>
      <c r="AE104" s="2">
        <f>AE102+AE100</f>
        <v>296062.91995373857</v>
      </c>
      <c r="AG104" s="2">
        <f>AG102+AG100</f>
        <v>902932.44865694537</v>
      </c>
      <c r="AI104" s="2">
        <f>AI102+AI100</f>
        <v>1227988.0936622412</v>
      </c>
      <c r="AN104">
        <f>IF(AND($AI$112="Y",X119&lt;=$AI$114),AM120+AO120+AW120+$AI$115+(E121-$I$120),AM120+AO120+AW120+(E121-$I$120))</f>
        <v>2859857.0308682546</v>
      </c>
    </row>
    <row r="106" spans="1:49" x14ac:dyDescent="0.3">
      <c r="AQ106" s="38"/>
    </row>
    <row r="107" spans="1:49" x14ac:dyDescent="0.3">
      <c r="AQ107" s="38"/>
    </row>
    <row r="108" spans="1:49" x14ac:dyDescent="0.3">
      <c r="B108" t="s">
        <v>150</v>
      </c>
      <c r="AN108" s="6" t="s">
        <v>129</v>
      </c>
      <c r="AQ108" s="38"/>
    </row>
    <row r="109" spans="1:49" x14ac:dyDescent="0.3">
      <c r="B109" t="s">
        <v>155</v>
      </c>
      <c r="AH109" s="6" t="s">
        <v>126</v>
      </c>
      <c r="AI109" s="6" t="s">
        <v>86</v>
      </c>
      <c r="AN109" s="6" t="s">
        <v>84</v>
      </c>
      <c r="AQ109" s="38"/>
    </row>
    <row r="110" spans="1:49" x14ac:dyDescent="0.3">
      <c r="B110" t="s">
        <v>117</v>
      </c>
      <c r="AC110" s="6" t="s">
        <v>143</v>
      </c>
      <c r="AH110" s="6" t="s">
        <v>127</v>
      </c>
      <c r="AI110" s="6" t="s">
        <v>87</v>
      </c>
      <c r="AK110" s="44">
        <v>200000</v>
      </c>
      <c r="AM110" s="6" t="s">
        <v>153</v>
      </c>
      <c r="AN110" s="6" t="s">
        <v>135</v>
      </c>
      <c r="AQ110" s="38"/>
      <c r="AV110" s="6"/>
    </row>
    <row r="111" spans="1:49" x14ac:dyDescent="0.3">
      <c r="B111" t="s">
        <v>156</v>
      </c>
      <c r="AC111" s="6">
        <v>3</v>
      </c>
      <c r="AG111" s="6" t="s">
        <v>85</v>
      </c>
      <c r="AH111" s="6" t="s">
        <v>114</v>
      </c>
      <c r="AI111" s="6" t="s">
        <v>110</v>
      </c>
      <c r="AK111" s="6" t="s">
        <v>103</v>
      </c>
      <c r="AM111" s="6" t="s">
        <v>154</v>
      </c>
      <c r="AN111" s="6" t="s">
        <v>136</v>
      </c>
      <c r="AO111" s="6"/>
      <c r="AQ111" s="38"/>
      <c r="AV111" s="6"/>
      <c r="AW111" s="6"/>
    </row>
    <row r="112" spans="1:49" x14ac:dyDescent="0.3">
      <c r="A112" t="s">
        <v>149</v>
      </c>
      <c r="B112" t="s">
        <v>157</v>
      </c>
      <c r="E112">
        <f>217*12/300000</f>
        <v>8.6800000000000002E-3</v>
      </c>
      <c r="AC112" s="6" t="s">
        <v>144</v>
      </c>
      <c r="AG112" s="6" t="s">
        <v>102</v>
      </c>
      <c r="AH112" s="56" t="str">
        <f>IF(OR(AH111&gt;=0,AH111&lt;&gt;"n"),"y","n")</f>
        <v>y</v>
      </c>
      <c r="AI112" s="6" t="s">
        <v>125</v>
      </c>
      <c r="AK112" s="6" t="s">
        <v>91</v>
      </c>
      <c r="AM112" s="6" t="s">
        <v>94</v>
      </c>
      <c r="AN112" s="6" t="s">
        <v>137</v>
      </c>
      <c r="AO112" s="6" t="s">
        <v>95</v>
      </c>
      <c r="AS112" s="6" t="s">
        <v>52</v>
      </c>
      <c r="AW112" s="6" t="s">
        <v>98</v>
      </c>
    </row>
    <row r="113" spans="1:52" x14ac:dyDescent="0.3">
      <c r="A113" t="s">
        <v>148</v>
      </c>
      <c r="B113">
        <v>22000</v>
      </c>
      <c r="H113" t="s">
        <v>158</v>
      </c>
      <c r="AB113" s="6" t="s">
        <v>90</v>
      </c>
      <c r="AC113" s="5">
        <v>5000000</v>
      </c>
      <c r="AE113" s="2"/>
      <c r="AG113" s="6" t="s">
        <v>97</v>
      </c>
      <c r="AH113" s="6" t="s">
        <v>104</v>
      </c>
      <c r="AI113" s="6" t="s">
        <v>128</v>
      </c>
      <c r="AK113" s="6" t="s">
        <v>92</v>
      </c>
      <c r="AM113" s="6" t="s">
        <v>93</v>
      </c>
      <c r="AN113" s="6" t="s">
        <v>141</v>
      </c>
      <c r="AO113" s="6" t="s">
        <v>139</v>
      </c>
      <c r="AS113" s="6" t="s">
        <v>124</v>
      </c>
      <c r="AT113" s="6"/>
      <c r="AU113" s="6"/>
      <c r="AV113" s="6" t="s">
        <v>117</v>
      </c>
      <c r="AW113" s="6" t="s">
        <v>118</v>
      </c>
      <c r="AZ113" t="s">
        <v>111</v>
      </c>
    </row>
    <row r="114" spans="1:52" ht="23.4" x14ac:dyDescent="0.45">
      <c r="A114" t="s">
        <v>152</v>
      </c>
      <c r="B114" t="s">
        <v>150</v>
      </c>
      <c r="C114" t="s">
        <v>147</v>
      </c>
      <c r="D114" t="s">
        <v>146</v>
      </c>
      <c r="E114" t="s">
        <v>145</v>
      </c>
      <c r="H114" t="s">
        <v>159</v>
      </c>
      <c r="X114" t="s">
        <v>93</v>
      </c>
      <c r="AB114" s="46">
        <v>5</v>
      </c>
      <c r="AE114" s="2"/>
      <c r="AG114" s="43">
        <v>100000</v>
      </c>
      <c r="AH114" s="6" t="s">
        <v>105</v>
      </c>
      <c r="AI114" s="6">
        <v>20</v>
      </c>
      <c r="AK114" s="6" t="s">
        <v>93</v>
      </c>
      <c r="AM114" s="6" t="s">
        <v>122</v>
      </c>
      <c r="AN114" s="6" t="s">
        <v>140</v>
      </c>
      <c r="AO114" s="6" t="s">
        <v>122</v>
      </c>
      <c r="AP114" s="65" t="s">
        <v>118</v>
      </c>
      <c r="AQ114" s="6" t="s">
        <v>94</v>
      </c>
      <c r="AS114" s="6" t="s">
        <v>114</v>
      </c>
      <c r="AT114" s="6"/>
      <c r="AU114" s="6" t="s">
        <v>94</v>
      </c>
      <c r="AV114" s="6" t="s">
        <v>116</v>
      </c>
      <c r="AW114" s="6" t="s">
        <v>119</v>
      </c>
      <c r="AZ114" t="s">
        <v>112</v>
      </c>
    </row>
    <row r="115" spans="1:52" x14ac:dyDescent="0.3">
      <c r="A115" s="8">
        <v>0.2</v>
      </c>
      <c r="B115" t="s">
        <v>151</v>
      </c>
      <c r="I115">
        <f>SUM(I117:I153)</f>
        <v>5000000</v>
      </c>
      <c r="U115" t="s">
        <v>106</v>
      </c>
      <c r="V115" t="s">
        <v>107</v>
      </c>
      <c r="X115" t="s">
        <v>80</v>
      </c>
      <c r="Y115" t="s">
        <v>99</v>
      </c>
      <c r="Z115" s="6" t="s">
        <v>88</v>
      </c>
      <c r="AA115" s="5" t="s">
        <v>89</v>
      </c>
      <c r="AB115" s="6" t="s">
        <v>80</v>
      </c>
      <c r="AD115" s="6" t="s">
        <v>81</v>
      </c>
      <c r="AE115" s="5" t="s">
        <v>82</v>
      </c>
      <c r="AF115" s="6" t="s">
        <v>83</v>
      </c>
      <c r="AG115" s="6" t="s">
        <v>101</v>
      </c>
      <c r="AH115" s="6" t="s">
        <v>120</v>
      </c>
      <c r="AI115" s="5">
        <v>350000</v>
      </c>
      <c r="AK115" s="6" t="s">
        <v>35</v>
      </c>
      <c r="AM115" s="6" t="s">
        <v>84</v>
      </c>
      <c r="AN115" s="6" t="s">
        <v>142</v>
      </c>
      <c r="AO115" s="6" t="s">
        <v>84</v>
      </c>
      <c r="AP115" s="65" t="s">
        <v>160</v>
      </c>
      <c r="AQ115" s="6" t="s">
        <v>95</v>
      </c>
      <c r="AS115" s="6" t="s">
        <v>52</v>
      </c>
      <c r="AT115" s="6" t="s">
        <v>96</v>
      </c>
      <c r="AU115" s="6" t="s">
        <v>52</v>
      </c>
      <c r="AV115" s="6" t="s">
        <v>115</v>
      </c>
      <c r="AW115" s="6" t="s">
        <v>39</v>
      </c>
      <c r="AZ115" t="s">
        <v>113</v>
      </c>
    </row>
    <row r="116" spans="1:52" x14ac:dyDescent="0.3">
      <c r="X116" s="33"/>
      <c r="Y116" s="33"/>
      <c r="Z116" s="33"/>
      <c r="AA116" s="36"/>
      <c r="AB116" s="33"/>
      <c r="AC116" s="33"/>
      <c r="AD116" s="34"/>
      <c r="AE116" s="35"/>
      <c r="AF116" s="34"/>
      <c r="AG116" s="34"/>
      <c r="AH116" s="34"/>
      <c r="AI116" s="35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61"/>
      <c r="AZ116" s="33"/>
    </row>
    <row r="117" spans="1:52" x14ac:dyDescent="0.3">
      <c r="A117" s="2">
        <f>IF(E117&gt;0,((C117+D117)*(1+$A$115))+U46,0)</f>
        <v>0</v>
      </c>
      <c r="B117">
        <f>IF(E117&gt;0,B113-($AA$26*12*-1),0)</f>
        <v>0</v>
      </c>
      <c r="C117">
        <f>D117*$E$112*12</f>
        <v>0</v>
      </c>
      <c r="D117">
        <f>IF(E117&gt;0,E117*0.01,0)</f>
        <v>0</v>
      </c>
      <c r="E117">
        <f t="shared" ref="E117:E153" si="31">IF(F117&gt;0,SUM($I$117:$I$153)*((1+$Z$84)^(F117-1)),0)</f>
        <v>0</v>
      </c>
      <c r="F117">
        <f t="shared" ref="F117:F118" si="32">IF(AND(I117&gt;0,I116=0),1, IF(F116&gt;0,F116+1,0))</f>
        <v>0</v>
      </c>
      <c r="G117">
        <f>IF(F117&gt;0,1,0)</f>
        <v>0</v>
      </c>
      <c r="H117">
        <f>IF(F117&gt;0,SUM($I$117:$I$153)*((1+$Z$67)^(F117-1)),0)</f>
        <v>0</v>
      </c>
      <c r="I117">
        <f>IF(X116=$AC$111,$AC$113,0)</f>
        <v>0</v>
      </c>
      <c r="J117">
        <f>AM61</f>
        <v>206999.99999999997</v>
      </c>
      <c r="K117">
        <f>IF(AND(M117&gt;0,M116=0),L117,0)</f>
        <v>0</v>
      </c>
      <c r="L117">
        <f>(($AL$46)*((1+$Z$84)^($AB$114+(X117-1))))</f>
        <v>45443.543712559993</v>
      </c>
      <c r="M117">
        <f>N117</f>
        <v>0</v>
      </c>
      <c r="N117">
        <f>IF(AND($AH$112="y",X117-1=$AH$111),$AA$60*((1+$Z$84)^($AH$111)),P117*O117)</f>
        <v>0</v>
      </c>
      <c r="O117">
        <v>0</v>
      </c>
      <c r="P117">
        <f>AA60*((1+Z84)^(AB114))</f>
        <v>374660.22490837658</v>
      </c>
      <c r="Q117">
        <f>MAX(S117:U117)</f>
        <v>179010.46545710877</v>
      </c>
      <c r="R117">
        <f>IF(S117=0,1,0)</f>
        <v>0</v>
      </c>
      <c r="S117">
        <f>IF(AS117&lt;AQ117,AS117,0)</f>
        <v>179010.46545710877</v>
      </c>
      <c r="T117">
        <f>IF(U117&gt;(AD117*12)+(AE117*12)+(AF117*12)+AO117,U117,AQ117*R117)</f>
        <v>0</v>
      </c>
      <c r="U117">
        <f>IF(AB117&gt;=2025,0.05*(AM117*0.66),0)</f>
        <v>0</v>
      </c>
      <c r="V117" s="2">
        <f>AS117-(AF117+AE117+AD117)</f>
        <v>177107.46545710877</v>
      </c>
      <c r="X117" s="39">
        <v>1</v>
      </c>
      <c r="Y117" s="39">
        <f>13+AB114</f>
        <v>18</v>
      </c>
      <c r="Z117" s="40">
        <f>60+AB114</f>
        <v>65</v>
      </c>
      <c r="AA117" s="40">
        <f>54+AB114</f>
        <v>59</v>
      </c>
      <c r="AB117" s="41">
        <f>2014+AB114</f>
        <v>2019</v>
      </c>
      <c r="AD117" s="2">
        <f t="shared" ref="AD117:AD153" si="33">IF(AB117&gt;=2019,1903*((1+($Z$84*0.66))^(AB117-2019)),0)</f>
        <v>1903</v>
      </c>
      <c r="AE117" s="2">
        <f>IF(AB117&gt;=2027,980*((1+($Z$84*0.66))^(AB117-2027)),0)</f>
        <v>0</v>
      </c>
      <c r="AF117" s="2">
        <f>IF(AB117&gt;=2020,(((($AS$15*$AS$6)+($AT$15*$AT$6)+$AU$15*$AU$6)+(AV$15*AV$6)+ (AW$15*AW$6)  +  (AX$15*AX$6)  +  (AY$15*AY$6)  +  (AZ$16*AZ$6)  +  (BA$17*BA$6) + ($BB$18*$BB$6))/12)*((1+($Z$84*0.66))^(AB117-2020)),0)</f>
        <v>0</v>
      </c>
      <c r="AG117" s="2">
        <f>(AA59*((1+Z66)^AB114))-(150000+AG114)</f>
        <v>4185814.0166144017</v>
      </c>
      <c r="AH117" s="2">
        <f>IF(M117&gt;0,M117,P117*O117)</f>
        <v>0</v>
      </c>
      <c r="AI117" s="2">
        <f>IF(AND($AI$112="Y",X117&lt;=$AI$114),$AI$115*(1+$Z$67),$AI$115)</f>
        <v>371000</v>
      </c>
      <c r="AK117" s="38">
        <f>$AH$1*((1+$Z$66)^$AB$114-1)/$Z$66*(1+$Z$66)</f>
        <v>1423037.8086400013</v>
      </c>
      <c r="AL117" s="26" t="str">
        <f t="shared" ref="AL117:AL153" si="34">AX117</f>
        <v/>
      </c>
      <c r="AM117" s="57">
        <f>IF((AG117+AH117+AI117+AK117)-E117&lt;=0,0,(AG117+AH117+AI117+AK117)-E117)</f>
        <v>5979851.8252544031</v>
      </c>
      <c r="AN117" s="38">
        <f>(          $AK$61*((1+($Z$84/2))^$AB$114)-J117           ) + ($AK$63*((1+($Z$84/2))^X117))  +  ($AK$62*((1+($Z$84/2))^X117)) + E117</f>
        <v>531855.38507208729</v>
      </c>
      <c r="AO117" s="38">
        <f>IF(AM117*$Z$67&gt;0,AM117*$Z$67,0)</f>
        <v>358791.10951526416</v>
      </c>
      <c r="AP117" s="38">
        <f>IF(AND($AI$112="Y",X116&lt;=$AI$114),AM117+AO117+AW117+$AI$115-(E118-($I$115*G118)+I118),AM117+AO117+AW117-(E118-($I$115*G118)+I118))</f>
        <v>6460277.3181122765</v>
      </c>
      <c r="AQ117" s="38">
        <f>IF(AO117&gt;0,(AO117)+(AF117*12)+(AE117*12)+(AD117*12)+ B117,(AF117*12)+(AE117*12)+(AD117*12)+B117)</f>
        <v>381627.10951526416</v>
      </c>
      <c r="AS117" s="2">
        <f>IF(AS114="n",(SUM(AC$7:AC$42)*12)*((1+$Z$84)^$AB$114)+ ((AL46*AM46)*((1+$Z$84)^$AB$114)) -K117 + A117,  (SUM($W$7:$W$42)*12)*((1+$Z$84)^$AB$114)+     ((AL46*AM46)*((1+$Z$84)^$AB$114)) - K117 + A117)</f>
        <v>179010.46545710877</v>
      </c>
      <c r="AT117" s="2">
        <f>IF(OR(X117&lt;=$AI$114,AI114=0),(Q117*0.11)+$AI$115*0.15,Q117*0.11)</f>
        <v>72191.151200281965</v>
      </c>
      <c r="AU117" s="2">
        <f>AS117+AT117</f>
        <v>251201.61665739072</v>
      </c>
      <c r="AV117" s="22">
        <f>AQ117-AU117</f>
        <v>130425.49285787344</v>
      </c>
      <c r="AW117" s="22">
        <f>(AU117-((AD117+AE117+AF117)*12))*-1</f>
        <v>-228365.61665739072</v>
      </c>
      <c r="AX117" s="45" t="str">
        <f>IF(AND(AW117&lt;0,AO117=0),"FAIL","")</f>
        <v/>
      </c>
      <c r="AY117" s="58">
        <f>IF(AW117&lt;0,AW117,0)</f>
        <v>-228365.61665739072</v>
      </c>
      <c r="AZ117" s="2">
        <f>IF(AY117&lt;0,AY117,0)</f>
        <v>-228365.61665739072</v>
      </c>
    </row>
    <row r="118" spans="1:52" x14ac:dyDescent="0.3">
      <c r="A118" s="2">
        <f>IF(E118&gt;0,((C118+D118)*(1+$A$115))+U46,0)</f>
        <v>0</v>
      </c>
      <c r="B118">
        <f>IF(E118&gt;0,($B$113*((1+$Z$84)^X117))-($AA$26*12*-1),0)</f>
        <v>0</v>
      </c>
      <c r="C118">
        <f t="shared" ref="C118:C153" si="35">D118*$E$112*12</f>
        <v>0</v>
      </c>
      <c r="D118">
        <f t="shared" ref="D118:D153" si="36">IF(E118&gt;0,E118*0.01,0)</f>
        <v>0</v>
      </c>
      <c r="E118">
        <f t="shared" si="31"/>
        <v>0</v>
      </c>
      <c r="F118">
        <f t="shared" si="32"/>
        <v>0</v>
      </c>
      <c r="G118">
        <f t="shared" ref="G118:G154" si="37">IF(F118&gt;0,1,0)</f>
        <v>0</v>
      </c>
      <c r="H118">
        <f t="shared" ref="H118:H154" si="38">IF(F118&gt;0,SUM($I$117:$I$153)*((1+$Z$67)^(F118-1)),0)</f>
        <v>0</v>
      </c>
      <c r="I118">
        <f t="shared" ref="I118:I153" si="39">IF(X117=$AC$111,$AC$113,0)</f>
        <v>0</v>
      </c>
      <c r="J118">
        <f>IF($J$117-($J$117/25*X117)&gt;0,$J$117-($J$117/25*X117),0)</f>
        <v>198719.99999999997</v>
      </c>
      <c r="K118">
        <f t="shared" ref="K118:K153" si="40">IF(AND(M118&gt;0,M117=0),L118,0)</f>
        <v>0</v>
      </c>
      <c r="L118">
        <f t="shared" ref="L118:L153" si="41">(($AL$46)*((1+$Z$84)^($AB$114+(X118-1))))</f>
        <v>46806.850023936793</v>
      </c>
      <c r="M118">
        <f>IF(M117&gt;0,M117*(1+$Z$67),N118)</f>
        <v>0</v>
      </c>
      <c r="N118">
        <f t="shared" ref="N118:N153" si="42">IF(AND($AH$112="y",X118-1=$AH$111,N117=0),$AA$60*((1+$Z$84)^($AH$111)),P118*O118)</f>
        <v>0</v>
      </c>
      <c r="O118">
        <f>IF(OR(AM117-AU117&lt;=0,O117=1),1,0)</f>
        <v>0</v>
      </c>
      <c r="P118">
        <f>IF(O118=0,P117*(1+$Z$84),P117*(1+$Z$67))</f>
        <v>385900.03165562788</v>
      </c>
      <c r="Q118">
        <f t="shared" ref="Q118:Q153" si="43">MAX(S118:U118)</f>
        <v>184380.77942082204</v>
      </c>
      <c r="R118">
        <f t="shared" ref="R118:R153" si="44">IF(S118=0,1,0)</f>
        <v>0</v>
      </c>
      <c r="S118">
        <f t="shared" ref="S118:S153" si="45">IF(AS118&lt;AQ118,AS118,0)</f>
        <v>184380.77942082204</v>
      </c>
      <c r="T118">
        <f t="shared" ref="T118:T153" si="46">IF(U118&gt;(AD118*12)+(AE118*12)+(AF118*12)+AO118,U118,AQ118*R118)</f>
        <v>0</v>
      </c>
      <c r="U118">
        <f t="shared" ref="U118:U153" si="47">IF(AB118&gt;=2025,0.05*(AM118*0.66),0)</f>
        <v>0</v>
      </c>
      <c r="V118" s="2">
        <f t="shared" ref="V118:V153" si="48">AS118-(AF118+AE118+AD118)</f>
        <v>180709.80256382204</v>
      </c>
      <c r="X118" s="39">
        <f>X117+1</f>
        <v>2</v>
      </c>
      <c r="Y118" s="42">
        <f>Y117+1</f>
        <v>19</v>
      </c>
      <c r="Z118" s="40">
        <f>Z117+1</f>
        <v>66</v>
      </c>
      <c r="AA118" s="40">
        <f>AA117+1</f>
        <v>60</v>
      </c>
      <c r="AB118" s="41">
        <f>AB117+1</f>
        <v>2020</v>
      </c>
      <c r="AD118" s="2">
        <f t="shared" si="33"/>
        <v>1940.6794</v>
      </c>
      <c r="AE118" s="2">
        <f t="shared" ref="AE118:AE153" si="49">IF(AB118&gt;=2027,980*((1+($Z$84*0.66))^(AB118-2027)),0)</f>
        <v>0</v>
      </c>
      <c r="AF118" s="2">
        <f>IF(AB118&gt;=2020,(((($AS$15*$AS$6)+($AT$15*$AT$6)+$AU$15*$AU$6)+(AV$15*AV$6)+ (AW$15*AW$6)  +  (AX$15*AX$6)  +  (AY$15*AY$6)  +  (AZ$16*AZ$6)  +  (BA$17*BA$6) + ($BB$18*$BB$6))/12)*((1+($Z$84*0.66))^(AB118-2020)),0)</f>
        <v>1730.2974570000003</v>
      </c>
      <c r="AG118" s="2">
        <f t="shared" ref="AG118:AG153" si="50">AG117*(1+$Z$67)</f>
        <v>4436962.857611266</v>
      </c>
      <c r="AH118" s="2">
        <f t="shared" ref="AH118:AH153" si="51">IF(M118&gt;0,M118,P118*O118)</f>
        <v>0</v>
      </c>
      <c r="AI118" s="2">
        <f>IF(AND($AI$112="Y",X118&lt;=$AI$114),(AI117*(1+$Z$67))+$AI$115,AI117*(1+$Z$67))</f>
        <v>743260</v>
      </c>
      <c r="AK118" s="38">
        <f>AK117*((1+$Z$67))</f>
        <v>1508420.0771584015</v>
      </c>
      <c r="AL118" s="26" t="str">
        <f t="shared" si="34"/>
        <v/>
      </c>
      <c r="AM118" s="63">
        <f t="shared" ref="AM118:AM119" si="52">IF((AG118+AH118+AI118+AK118)+(AY117)-H118&lt;=0,0,(AG118+AH118+AI118+AK118)+(AY117)-H118)</f>
        <v>6460277.3181122765</v>
      </c>
      <c r="AN118" s="38">
        <f t="shared" ref="AN118:AN153" si="53">(          $AK$61*((1+($Z$84/2))^$AB$114)-J118           ) + ($AK$63*((1+($Z$84/2))^X118))  +  ($AK$62*((1+($Z$84/2))^X118)) + E118</f>
        <v>546758.26007208717</v>
      </c>
      <c r="AO118" s="38">
        <f>IF(AM118*$Z$67&gt;0,AM118*$Z$67,0)</f>
        <v>387616.6390867366</v>
      </c>
      <c r="AP118" s="38">
        <f>IF(AND($AI$112="Y",X117&lt;=$AI$114),AM118+AO118+AW118+$AI$115-(E119-($I$115*G119)+I119),AM118+AO118+AW118-(E119-($I$115*G119)+I119))</f>
        <v>6984783.0143259</v>
      </c>
      <c r="AQ118" s="38">
        <f>IF(AO118&gt;0,(AO118)+(AF118*12)+(AE118*12)+(AD118*12)+B118,(AF118*12)+(AE118*12)+(AD118*12)+B118)</f>
        <v>431668.36137073656</v>
      </c>
      <c r="AS118" s="2">
        <f>((AS117-K118-A117)*(1+$Z$84)) + A118</f>
        <v>184380.77942082204</v>
      </c>
      <c r="AT118" s="2">
        <f>IF(X118&lt;=$AI$114,(Q118*0.11)+$AI$115*0.15,Q118*0.11)</f>
        <v>72781.885736290424</v>
      </c>
      <c r="AU118" s="2">
        <f t="shared" ref="AU118" si="54">AS118+AT118</f>
        <v>257162.66515711247</v>
      </c>
      <c r="AV118" s="22">
        <f t="shared" ref="AV118:AV153" si="55">AQ118-AU118</f>
        <v>174505.69621362409</v>
      </c>
      <c r="AW118" s="22">
        <f>(AU118-((AD118+AE118+AF118)*12))*-1</f>
        <v>-213110.94287311245</v>
      </c>
      <c r="AX118" s="45" t="str">
        <f t="shared" ref="AX118:AX153" si="56">IF(AND(AW118&lt;0,AO118=0),"FAIL","")</f>
        <v/>
      </c>
      <c r="AY118" s="58">
        <f>IF(AW118&lt;0,AW118+(AY117*(1+$Z$67)),AY117+AW118)</f>
        <v>-455178.49652994663</v>
      </c>
      <c r="AZ118" s="2">
        <f t="shared" ref="AZ118:AZ153" si="57">IF(AY118&lt;0,AY118,0)</f>
        <v>-455178.49652994663</v>
      </c>
    </row>
    <row r="119" spans="1:52" x14ac:dyDescent="0.3">
      <c r="A119" s="2">
        <f t="shared" ref="A119:A153" si="58">IF(E119&gt;0,((C119+D119)*(1+$A$115))+U47,0)</f>
        <v>0</v>
      </c>
      <c r="B119">
        <f t="shared" ref="B119:B153" si="59">IF(E119&gt;0,($B$113*((1+$Z$84)^X118))-($AA$26*12*-1),0)</f>
        <v>0</v>
      </c>
      <c r="C119">
        <f t="shared" si="35"/>
        <v>0</v>
      </c>
      <c r="D119">
        <f t="shared" si="36"/>
        <v>0</v>
      </c>
      <c r="E119">
        <f t="shared" si="31"/>
        <v>0</v>
      </c>
      <c r="F119">
        <f>IF(AND(I119&gt;0,I118=0),1, IF(F118&gt;0,F118+1,0))</f>
        <v>0</v>
      </c>
      <c r="G119">
        <f t="shared" si="37"/>
        <v>0</v>
      </c>
      <c r="H119">
        <f t="shared" si="38"/>
        <v>0</v>
      </c>
      <c r="I119">
        <f t="shared" si="39"/>
        <v>0</v>
      </c>
      <c r="J119">
        <f t="shared" ref="J119:J153" si="60">IF($J$117-($J$117/25*X118)&gt;0,$J$117-($J$117/25*X118),0)</f>
        <v>190439.99999999997</v>
      </c>
      <c r="K119">
        <f t="shared" si="40"/>
        <v>0</v>
      </c>
      <c r="L119">
        <f t="shared" si="41"/>
        <v>48211.055524654905</v>
      </c>
      <c r="M119">
        <f t="shared" ref="M119:M153" si="61">IF(M118&gt;0,M118*(1+$Z$67),N119)</f>
        <v>0</v>
      </c>
      <c r="N119">
        <f t="shared" si="42"/>
        <v>0</v>
      </c>
      <c r="O119">
        <f t="shared" ref="O119:O151" si="62">IF(OR(AM118-AU118&lt;=0,O118=1),1,0)</f>
        <v>0</v>
      </c>
      <c r="P119">
        <f t="shared" ref="P119:P153" si="63">IF(O119=0,P118*(1+$Z$84),P118*(1+$Z$67))</f>
        <v>397477.03260529676</v>
      </c>
      <c r="Q119">
        <f t="shared" si="43"/>
        <v>189912.20280344671</v>
      </c>
      <c r="R119">
        <f t="shared" si="44"/>
        <v>0</v>
      </c>
      <c r="S119">
        <f t="shared" si="45"/>
        <v>189912.20280344671</v>
      </c>
      <c r="T119">
        <f t="shared" si="46"/>
        <v>0</v>
      </c>
      <c r="U119">
        <f t="shared" si="47"/>
        <v>0</v>
      </c>
      <c r="V119" s="2">
        <f t="shared" si="48"/>
        <v>186168.5406046781</v>
      </c>
      <c r="X119" s="39">
        <f t="shared" ref="X119:X153" si="64">X118+1</f>
        <v>3</v>
      </c>
      <c r="Y119" s="42">
        <f t="shared" ref="Y119:Y153" si="65">Y118+1</f>
        <v>20</v>
      </c>
      <c r="Z119" s="40">
        <f t="shared" ref="Z119:Z129" si="66">Z118+1</f>
        <v>67</v>
      </c>
      <c r="AA119" s="40">
        <f t="shared" ref="AA119:AA129" si="67">AA118+1</f>
        <v>61</v>
      </c>
      <c r="AB119" s="41">
        <f t="shared" ref="AB119:AB153" si="68">AB118+1</f>
        <v>2021</v>
      </c>
      <c r="AD119" s="2">
        <f t="shared" si="33"/>
        <v>1979.10485212</v>
      </c>
      <c r="AE119" s="2">
        <f t="shared" si="49"/>
        <v>0</v>
      </c>
      <c r="AF119" s="2">
        <f t="shared" ref="AF119:AF153" si="69">IF(AB119&gt;=2020,(((($AS$15*$AS$6)+($AT$15*$AT$6)+$AU$15*$AU$6)+(AV$15*AV$6)+ (AW$15*AW$6)  +  (AX$15*AX$6)  +  (AY$15*AY$6)  +  (AZ$16*AZ$6)  +  (BA$17*BA$6) + ($BB$18*$BB$6))/12)*((1+($Z$84*0.66))^(AB119-2020)),0)</f>
        <v>1764.5573466486005</v>
      </c>
      <c r="AG119" s="2">
        <f t="shared" si="50"/>
        <v>4703180.6290679425</v>
      </c>
      <c r="AH119" s="2">
        <f t="shared" si="51"/>
        <v>0</v>
      </c>
      <c r="AI119" s="2">
        <f t="shared" ref="AI119:AI153" si="70">IF(AND($AI$112="Y",X119&lt;=$AI$114),(AI118*(1+$Z$67))+$AI$115,AI118*(1+$Z$67))</f>
        <v>1137855.6000000001</v>
      </c>
      <c r="AK119" s="38">
        <f t="shared" ref="AK119:AK153" si="71">AK118*((1+$Z$67))</f>
        <v>1598925.2817879056</v>
      </c>
      <c r="AL119" s="26" t="str">
        <f t="shared" si="34"/>
        <v/>
      </c>
      <c r="AM119" s="63">
        <f t="shared" si="52"/>
        <v>6984783.0143259009</v>
      </c>
      <c r="AN119" s="38">
        <f t="shared" si="53"/>
        <v>561760.47819708718</v>
      </c>
      <c r="AO119" s="38">
        <f t="shared" ref="AO119:AO153" si="72">IF(AM119*$Z$67&gt;0,AM119*$Z$67,0)</f>
        <v>419086.98085955402</v>
      </c>
      <c r="AP119" s="38">
        <f>IF(AND($AI$112="Y",X118&lt;=$AI$114),AM119+AO119+AW119+$AI$115-(E120-($I$115*G120)+I120),AM119+AO119+AW119-(E120-($I$115*G120)+I120))</f>
        <v>2535491.396458853</v>
      </c>
      <c r="AQ119" s="38">
        <f>IF(AO119&gt;0,(AO119)+(AF119*12)+(AE119*12)+(AD119*12)+B119,(AF119*12)+(AE119*12)+(AD119*12)+B119)</f>
        <v>464010.92724477721</v>
      </c>
      <c r="AS119" s="2">
        <f t="shared" ref="AS119:AS153" si="73">((AS118-K119-A118)*(1+$Z$84)) + A119</f>
        <v>189912.20280344671</v>
      </c>
      <c r="AT119" s="2">
        <f t="shared" ref="AT119:AT153" si="74">IF(X119&lt;=$AI$114,(Q119*0.11)+$AI$115*0.15,Q119*0.11)</f>
        <v>73390.342308379142</v>
      </c>
      <c r="AU119" s="2">
        <f t="shared" ref="AU119:AU153" si="75">AS119+AT119</f>
        <v>263302.54511182586</v>
      </c>
      <c r="AV119" s="22">
        <f t="shared" si="55"/>
        <v>200708.38213295134</v>
      </c>
      <c r="AW119" s="22">
        <f>(AU119-((AD119+AE119+AF119)*12))*-1</f>
        <v>-218378.59872660268</v>
      </c>
      <c r="AX119" s="45" t="str">
        <f t="shared" si="56"/>
        <v/>
      </c>
      <c r="AY119" s="58">
        <f>IF(AW119&lt;0,AW119+(AY118*(1+$Z$67)),AY118+AW119)</f>
        <v>-700867.80504834605</v>
      </c>
      <c r="AZ119" s="2">
        <f t="shared" si="57"/>
        <v>-700867.80504834605</v>
      </c>
    </row>
    <row r="120" spans="1:52" x14ac:dyDescent="0.3">
      <c r="A120" s="2">
        <f>IF(E120&gt;0,((C120+D120)*(1+$A$115))+U48,0)</f>
        <v>101049.59999999999</v>
      </c>
      <c r="B120">
        <f>IF(E120&gt;0,($B$113*((1+$Z$84)^X119))-($AA$26*12*-1),0)</f>
        <v>24039.993999999999</v>
      </c>
      <c r="C120">
        <f t="shared" si="35"/>
        <v>5208</v>
      </c>
      <c r="D120">
        <f t="shared" si="36"/>
        <v>50000</v>
      </c>
      <c r="E120">
        <f t="shared" si="31"/>
        <v>5000000</v>
      </c>
      <c r="F120">
        <f t="shared" ref="F120:F153" si="76">IF(AND(I120&gt;0,I119=0),1, IF(F119&gt;0,F119+1,0))</f>
        <v>1</v>
      </c>
      <c r="G120">
        <f t="shared" si="37"/>
        <v>1</v>
      </c>
      <c r="H120">
        <f t="shared" si="38"/>
        <v>5000000</v>
      </c>
      <c r="I120">
        <f t="shared" si="39"/>
        <v>5000000</v>
      </c>
      <c r="J120">
        <f t="shared" si="60"/>
        <v>182159.99999999997</v>
      </c>
      <c r="K120">
        <f t="shared" si="40"/>
        <v>0</v>
      </c>
      <c r="L120">
        <f t="shared" si="41"/>
        <v>49657.387190394547</v>
      </c>
      <c r="M120">
        <f t="shared" si="61"/>
        <v>0</v>
      </c>
      <c r="N120">
        <f t="shared" si="42"/>
        <v>0</v>
      </c>
      <c r="O120">
        <f t="shared" si="62"/>
        <v>0</v>
      </c>
      <c r="P120">
        <f t="shared" si="63"/>
        <v>409401.34358345566</v>
      </c>
      <c r="Q120">
        <f t="shared" si="43"/>
        <v>221982.9183111818</v>
      </c>
      <c r="R120">
        <f>IF(S120=0,1,0)</f>
        <v>1</v>
      </c>
      <c r="S120">
        <f t="shared" si="45"/>
        <v>0</v>
      </c>
      <c r="T120">
        <f t="shared" si="46"/>
        <v>221982.9183111818</v>
      </c>
      <c r="U120">
        <f t="shared" si="47"/>
        <v>0</v>
      </c>
      <c r="V120" s="2">
        <f t="shared" si="48"/>
        <v>292841.38217724592</v>
      </c>
      <c r="X120" s="39">
        <f t="shared" si="64"/>
        <v>4</v>
      </c>
      <c r="Y120" s="42">
        <f t="shared" si="65"/>
        <v>21</v>
      </c>
      <c r="Z120" s="40">
        <f t="shared" si="66"/>
        <v>68</v>
      </c>
      <c r="AA120" s="40">
        <f t="shared" si="67"/>
        <v>62</v>
      </c>
      <c r="AB120" s="41">
        <f t="shared" si="68"/>
        <v>2022</v>
      </c>
      <c r="AD120" s="2">
        <f t="shared" si="33"/>
        <v>2018.291128191976</v>
      </c>
      <c r="AE120" s="2">
        <f t="shared" si="49"/>
        <v>0</v>
      </c>
      <c r="AF120" s="2">
        <f t="shared" si="69"/>
        <v>1799.4955821122426</v>
      </c>
      <c r="AG120" s="2">
        <f t="shared" si="50"/>
        <v>4985371.4668120192</v>
      </c>
      <c r="AH120" s="2">
        <f t="shared" si="51"/>
        <v>0</v>
      </c>
      <c r="AI120" s="2">
        <f t="shared" si="70"/>
        <v>1556126.9360000002</v>
      </c>
      <c r="AK120" s="38">
        <f t="shared" si="71"/>
        <v>1694860.7986951801</v>
      </c>
      <c r="AL120" s="26" t="str">
        <f t="shared" si="34"/>
        <v/>
      </c>
      <c r="AM120" s="63">
        <f>IF((AG120+AH120+AI120+AK120)+(AY119)-H120&lt;=0,0,(AG120+AH120+AI120+AK120)+(AY119)-H120)</f>
        <v>2535491.396458853</v>
      </c>
      <c r="AN120" s="38">
        <f t="shared" si="53"/>
        <v>5576863.5295939622</v>
      </c>
      <c r="AO120" s="38">
        <f>IF(AM120*$Z$67&gt;0,AM120*$Z$67,0)</f>
        <v>152129.48378753118</v>
      </c>
      <c r="AP120" s="64">
        <f>IF(AND($AI$112="Y",X119&lt;=$AI$114),AM120+AO120+AW120+$AI$115-(H121-($I$115*G121)+I121),AM120+AO120+AW120-(H121-($I$115*G121)+I121))</f>
        <v>2409857.0308682546</v>
      </c>
      <c r="AQ120" s="38">
        <f t="shared" ref="AQ120:AQ153" si="77">IF(AO120&gt;0,(AO120)+(AF120*12)+(AE120*12)+(AD120*12)+B120,(AF120*12)+(AE120*12)+(AD120*12)+B120)</f>
        <v>221982.9183111818</v>
      </c>
      <c r="AS120" s="2">
        <f t="shared" si="73"/>
        <v>296659.16888755013</v>
      </c>
      <c r="AT120" s="2">
        <f t="shared" si="74"/>
        <v>76918.121014229997</v>
      </c>
      <c r="AU120" s="2">
        <f t="shared" si="75"/>
        <v>373577.28990178014</v>
      </c>
      <c r="AV120" s="22">
        <f t="shared" si="55"/>
        <v>-151594.37159059834</v>
      </c>
      <c r="AW120" s="22">
        <f>(AU120-((AD120+AE120+AF120)*12))*-1</f>
        <v>-327763.84937812953</v>
      </c>
      <c r="AX120" s="45" t="str">
        <f t="shared" si="56"/>
        <v/>
      </c>
      <c r="AY120" s="58">
        <f>IF(AW120&lt;0,AW120+(AY119*(1+$Z$67)),AY119+AW120)</f>
        <v>-1070683.7227293763</v>
      </c>
      <c r="AZ120" s="2">
        <f t="shared" si="57"/>
        <v>-1070683.7227293763</v>
      </c>
    </row>
    <row r="121" spans="1:52" x14ac:dyDescent="0.3">
      <c r="A121" s="2">
        <f t="shared" si="58"/>
        <v>68237.087999999989</v>
      </c>
      <c r="B121">
        <f t="shared" si="59"/>
        <v>24761.193819999997</v>
      </c>
      <c r="C121">
        <f t="shared" si="35"/>
        <v>5364.2400000000007</v>
      </c>
      <c r="D121">
        <f t="shared" si="36"/>
        <v>51500</v>
      </c>
      <c r="E121">
        <f t="shared" si="31"/>
        <v>5150000</v>
      </c>
      <c r="F121">
        <f t="shared" si="76"/>
        <v>2</v>
      </c>
      <c r="G121">
        <f t="shared" si="37"/>
        <v>1</v>
      </c>
      <c r="H121">
        <f t="shared" si="38"/>
        <v>5300000</v>
      </c>
      <c r="I121">
        <f t="shared" si="39"/>
        <v>0</v>
      </c>
      <c r="J121">
        <f t="shared" si="60"/>
        <v>173879.99999999997</v>
      </c>
      <c r="K121">
        <f t="shared" si="40"/>
        <v>0</v>
      </c>
      <c r="L121">
        <f t="shared" si="41"/>
        <v>51147.108806106386</v>
      </c>
      <c r="M121">
        <f t="shared" si="61"/>
        <v>0</v>
      </c>
      <c r="N121">
        <f t="shared" si="42"/>
        <v>0</v>
      </c>
      <c r="O121">
        <f t="shared" si="62"/>
        <v>0</v>
      </c>
      <c r="P121">
        <f t="shared" si="63"/>
        <v>421683.38389095932</v>
      </c>
      <c r="Q121">
        <f t="shared" si="43"/>
        <v>234073.16231811419</v>
      </c>
      <c r="R121">
        <f t="shared" si="44"/>
        <v>1</v>
      </c>
      <c r="S121">
        <f t="shared" si="45"/>
        <v>0</v>
      </c>
      <c r="T121">
        <f t="shared" si="46"/>
        <v>234073.16231811419</v>
      </c>
      <c r="U121">
        <f t="shared" si="47"/>
        <v>0</v>
      </c>
      <c r="V121" s="2">
        <f t="shared" si="48"/>
        <v>265821.56506700837</v>
      </c>
      <c r="X121" s="39">
        <f t="shared" si="64"/>
        <v>5</v>
      </c>
      <c r="Y121" s="42">
        <f t="shared" si="65"/>
        <v>22</v>
      </c>
      <c r="Z121" s="40">
        <f t="shared" si="66"/>
        <v>69</v>
      </c>
      <c r="AA121" s="40">
        <f t="shared" si="67"/>
        <v>63</v>
      </c>
      <c r="AB121" s="41">
        <f t="shared" si="68"/>
        <v>2023</v>
      </c>
      <c r="AD121" s="2">
        <f t="shared" si="33"/>
        <v>2058.2532925301771</v>
      </c>
      <c r="AE121" s="2">
        <f t="shared" si="49"/>
        <v>0</v>
      </c>
      <c r="AF121" s="2">
        <f t="shared" si="69"/>
        <v>1835.125594638065</v>
      </c>
      <c r="AG121" s="2">
        <f t="shared" si="50"/>
        <v>5284493.7548207408</v>
      </c>
      <c r="AH121" s="2">
        <f t="shared" si="51"/>
        <v>0</v>
      </c>
      <c r="AI121" s="2">
        <f t="shared" si="70"/>
        <v>1999494.5521600004</v>
      </c>
      <c r="AK121" s="38">
        <f t="shared" si="71"/>
        <v>1796552.4466168911</v>
      </c>
      <c r="AL121" s="26" t="str">
        <f t="shared" si="34"/>
        <v/>
      </c>
      <c r="AM121" s="63">
        <f>IF((AG121+AH121+AI121+AK121)+(AY120)-H121&lt;=0,0,(AG121+AH121+AI121+AK121)+(AY120)-H121)</f>
        <v>2709857.0308682555</v>
      </c>
      <c r="AN121" s="38">
        <f t="shared" si="53"/>
        <v>5742068.9267617902</v>
      </c>
      <c r="AO121" s="38">
        <f t="shared" si="72"/>
        <v>162591.42185209531</v>
      </c>
      <c r="AP121" s="38">
        <f t="shared" ref="AP121:AP153" si="78">IF(AND($AI$112="Y",X120&lt;=$AI$114),AM121+AO121+AW121+$AI$115-(E122-($I$115*G122)+I122),AM121+AO121+AW121-(E122-($I$115*G122)+I122))</f>
        <v>2616706.0075572007</v>
      </c>
      <c r="AQ121" s="38">
        <f t="shared" si="77"/>
        <v>234073.16231811419</v>
      </c>
      <c r="AS121" s="2">
        <f t="shared" si="73"/>
        <v>269714.94395417662</v>
      </c>
      <c r="AT121" s="2">
        <f t="shared" si="74"/>
        <v>78248.047854992561</v>
      </c>
      <c r="AU121" s="2">
        <f t="shared" si="75"/>
        <v>347962.99180916918</v>
      </c>
      <c r="AV121" s="22">
        <f t="shared" si="55"/>
        <v>-113889.82949105499</v>
      </c>
      <c r="AW121" s="22">
        <f t="shared" ref="AW121:AW152" si="79">(AU121-((AD121+AE121+AF121)*12))*-1</f>
        <v>-301242.44516315026</v>
      </c>
      <c r="AX121" s="45" t="str">
        <f t="shared" si="56"/>
        <v/>
      </c>
      <c r="AY121" s="58">
        <f t="shared" ref="AY121:AY153" si="80">IF(AW121&lt;0,AW121+(AY120*(1+$Z$67)),AY120+AW121)</f>
        <v>-1436167.1912562891</v>
      </c>
      <c r="AZ121" s="2">
        <f t="shared" si="57"/>
        <v>-1436167.1912562891</v>
      </c>
    </row>
    <row r="122" spans="1:52" x14ac:dyDescent="0.3">
      <c r="A122" s="2">
        <f t="shared" si="58"/>
        <v>70284.200639999995</v>
      </c>
      <c r="B122">
        <f t="shared" si="59"/>
        <v>25504.029634599996</v>
      </c>
      <c r="C122">
        <f t="shared" si="35"/>
        <v>5525.1671999999999</v>
      </c>
      <c r="D122">
        <f t="shared" si="36"/>
        <v>53045</v>
      </c>
      <c r="E122">
        <f t="shared" si="31"/>
        <v>5304500</v>
      </c>
      <c r="F122">
        <f t="shared" si="76"/>
        <v>3</v>
      </c>
      <c r="G122">
        <f t="shared" si="37"/>
        <v>1</v>
      </c>
      <c r="H122">
        <f t="shared" si="38"/>
        <v>5618000.0000000009</v>
      </c>
      <c r="I122">
        <f t="shared" si="39"/>
        <v>0</v>
      </c>
      <c r="J122">
        <f t="shared" si="60"/>
        <v>165599.99999999997</v>
      </c>
      <c r="K122">
        <f t="shared" si="40"/>
        <v>0</v>
      </c>
      <c r="L122">
        <f t="shared" si="41"/>
        <v>52681.522070289575</v>
      </c>
      <c r="M122">
        <f t="shared" si="61"/>
        <v>0</v>
      </c>
      <c r="N122">
        <f t="shared" si="42"/>
        <v>0</v>
      </c>
      <c r="O122">
        <f t="shared" si="62"/>
        <v>0</v>
      </c>
      <c r="P122">
        <f t="shared" si="63"/>
        <v>434333.8854076881</v>
      </c>
      <c r="Q122">
        <f t="shared" si="43"/>
        <v>248422.00355764217</v>
      </c>
      <c r="R122">
        <f t="shared" si="44"/>
        <v>1</v>
      </c>
      <c r="S122">
        <f t="shared" si="45"/>
        <v>0</v>
      </c>
      <c r="T122">
        <f t="shared" si="46"/>
        <v>248422.00355764217</v>
      </c>
      <c r="U122">
        <f t="shared" si="47"/>
        <v>0</v>
      </c>
      <c r="V122" s="2">
        <f t="shared" si="48"/>
        <v>273835.92448366777</v>
      </c>
      <c r="X122" s="39">
        <f t="shared" si="64"/>
        <v>6</v>
      </c>
      <c r="Y122" s="42">
        <f t="shared" si="65"/>
        <v>23</v>
      </c>
      <c r="Z122" s="40">
        <f t="shared" si="66"/>
        <v>70</v>
      </c>
      <c r="AA122" s="40">
        <f t="shared" si="67"/>
        <v>64</v>
      </c>
      <c r="AB122" s="41">
        <f t="shared" si="68"/>
        <v>2024</v>
      </c>
      <c r="AD122" s="2">
        <f t="shared" si="33"/>
        <v>2099.0067077222743</v>
      </c>
      <c r="AE122" s="2">
        <f t="shared" si="49"/>
        <v>0</v>
      </c>
      <c r="AF122" s="2">
        <f t="shared" si="69"/>
        <v>1871.4610814118987</v>
      </c>
      <c r="AG122" s="2">
        <f t="shared" si="50"/>
        <v>5601563.3801099854</v>
      </c>
      <c r="AH122" s="2">
        <f t="shared" si="51"/>
        <v>0</v>
      </c>
      <c r="AI122" s="2">
        <f t="shared" si="70"/>
        <v>2469464.2252896004</v>
      </c>
      <c r="AK122" s="38">
        <f t="shared" si="71"/>
        <v>1904345.5934139045</v>
      </c>
      <c r="AL122" s="26" t="str">
        <f t="shared" si="34"/>
        <v/>
      </c>
      <c r="AM122" s="63">
        <f t="shared" ref="AM122:AM153" si="81">IF((AG122+AH122+AI122+AK122)+(AY121)-H122&lt;=0,0,(AG122+AH122+AI122+AK122)+(AY121)-H122)</f>
        <v>2921206.0075572012</v>
      </c>
      <c r="AN122" s="38">
        <f t="shared" si="53"/>
        <v>5911878.2048871359</v>
      </c>
      <c r="AO122" s="38">
        <f t="shared" si="72"/>
        <v>175272.36045343208</v>
      </c>
      <c r="AP122" s="38">
        <f>IF(AND($AI$112="Y",X121&lt;=$AI$114),AM122+AO122+AW122+$AI$115-(E123-($I$115*G123)+I123),AM122+AO122+AW122-(E123-($I$115*G123)+I123))</f>
        <v>2672856.1688161008</v>
      </c>
      <c r="AQ122" s="38">
        <f t="shared" si="77"/>
        <v>248422.00355764217</v>
      </c>
      <c r="AS122" s="2">
        <f t="shared" si="73"/>
        <v>277806.39227280195</v>
      </c>
      <c r="AT122" s="2">
        <f t="shared" si="74"/>
        <v>79826.420391340638</v>
      </c>
      <c r="AU122" s="2">
        <f t="shared" si="75"/>
        <v>357632.81266414258</v>
      </c>
      <c r="AV122" s="22">
        <f t="shared" si="55"/>
        <v>-109210.80910650041</v>
      </c>
      <c r="AW122" s="22">
        <f t="shared" si="79"/>
        <v>-309987.19919453247</v>
      </c>
      <c r="AX122" s="45" t="str">
        <f t="shared" si="56"/>
        <v/>
      </c>
      <c r="AY122" s="58">
        <f t="shared" si="80"/>
        <v>-1832324.421926199</v>
      </c>
      <c r="AZ122" s="2">
        <f t="shared" si="57"/>
        <v>-1832324.421926199</v>
      </c>
    </row>
    <row r="123" spans="1:52" x14ac:dyDescent="0.3">
      <c r="A123" s="2">
        <f t="shared" si="58"/>
        <v>72392.726659199994</v>
      </c>
      <c r="B123">
        <f t="shared" si="59"/>
        <v>26269.150523638</v>
      </c>
      <c r="C123">
        <f t="shared" si="35"/>
        <v>5690.9222159999999</v>
      </c>
      <c r="D123">
        <f t="shared" si="36"/>
        <v>54636.35</v>
      </c>
      <c r="E123">
        <f t="shared" si="31"/>
        <v>5463635</v>
      </c>
      <c r="F123">
        <f t="shared" si="76"/>
        <v>4</v>
      </c>
      <c r="G123">
        <f t="shared" si="37"/>
        <v>1</v>
      </c>
      <c r="H123">
        <f t="shared" si="38"/>
        <v>5955080.0000000019</v>
      </c>
      <c r="I123">
        <f t="shared" si="39"/>
        <v>0</v>
      </c>
      <c r="J123">
        <f t="shared" si="60"/>
        <v>157320</v>
      </c>
      <c r="K123">
        <f t="shared" si="40"/>
        <v>0</v>
      </c>
      <c r="L123">
        <f t="shared" si="41"/>
        <v>54261.967732398261</v>
      </c>
      <c r="M123">
        <f t="shared" si="61"/>
        <v>0</v>
      </c>
      <c r="N123">
        <f t="shared" si="42"/>
        <v>0</v>
      </c>
      <c r="O123">
        <f t="shared" si="62"/>
        <v>0</v>
      </c>
      <c r="P123">
        <f t="shared" si="63"/>
        <v>447363.90196991875</v>
      </c>
      <c r="Q123">
        <f t="shared" si="43"/>
        <v>263047.61726891226</v>
      </c>
      <c r="R123">
        <f t="shared" si="44"/>
        <v>1</v>
      </c>
      <c r="S123">
        <f t="shared" si="45"/>
        <v>0</v>
      </c>
      <c r="T123">
        <f t="shared" si="46"/>
        <v>263047.61726891226</v>
      </c>
      <c r="U123">
        <f t="shared" si="47"/>
        <v>103504.20857093128</v>
      </c>
      <c r="V123" s="2">
        <f t="shared" si="48"/>
        <v>282091.50098962698</v>
      </c>
      <c r="X123" s="39">
        <f t="shared" si="64"/>
        <v>7</v>
      </c>
      <c r="Y123" s="42">
        <f t="shared" si="65"/>
        <v>24</v>
      </c>
      <c r="Z123" s="40">
        <f t="shared" si="66"/>
        <v>71</v>
      </c>
      <c r="AA123" s="40">
        <f t="shared" si="67"/>
        <v>65</v>
      </c>
      <c r="AB123" s="41">
        <f t="shared" si="68"/>
        <v>2025</v>
      </c>
      <c r="AD123" s="2">
        <f t="shared" si="33"/>
        <v>2140.5670405351752</v>
      </c>
      <c r="AE123" s="2">
        <f t="shared" si="49"/>
        <v>0</v>
      </c>
      <c r="AF123" s="2">
        <f t="shared" si="69"/>
        <v>1908.516010823854</v>
      </c>
      <c r="AG123" s="2">
        <f t="shared" si="50"/>
        <v>5937657.1829165844</v>
      </c>
      <c r="AH123" s="2">
        <f t="shared" si="51"/>
        <v>0</v>
      </c>
      <c r="AI123" s="2">
        <f t="shared" si="70"/>
        <v>2967632.0788069768</v>
      </c>
      <c r="AK123" s="38">
        <f t="shared" si="71"/>
        <v>2018606.3290187388</v>
      </c>
      <c r="AL123" s="26" t="str">
        <f t="shared" si="34"/>
        <v/>
      </c>
      <c r="AM123" s="63">
        <f t="shared" si="81"/>
        <v>3136491.1688160989</v>
      </c>
      <c r="AN123" s="38">
        <f t="shared" si="53"/>
        <v>6086427.9221843611</v>
      </c>
      <c r="AO123" s="38">
        <f t="shared" si="72"/>
        <v>188189.47012896594</v>
      </c>
      <c r="AP123" s="38">
        <f t="shared" si="78"/>
        <v>2728149.7636208073</v>
      </c>
      <c r="AQ123" s="38">
        <f t="shared" si="77"/>
        <v>263047.61726891226</v>
      </c>
      <c r="AS123" s="2">
        <f t="shared" si="73"/>
        <v>286140.58404098602</v>
      </c>
      <c r="AT123" s="2">
        <f t="shared" si="74"/>
        <v>81435.237899580345</v>
      </c>
      <c r="AU123" s="2">
        <f t="shared" si="75"/>
        <v>367575.82194056635</v>
      </c>
      <c r="AV123" s="22">
        <f t="shared" si="55"/>
        <v>-104528.20467165409</v>
      </c>
      <c r="AW123" s="22">
        <f t="shared" si="79"/>
        <v>-318986.82532425801</v>
      </c>
      <c r="AX123" s="45" t="str">
        <f t="shared" si="56"/>
        <v/>
      </c>
      <c r="AY123" s="58">
        <f t="shared" si="80"/>
        <v>-2261250.7125660288</v>
      </c>
      <c r="AZ123" s="2">
        <f t="shared" si="57"/>
        <v>-2261250.7125660288</v>
      </c>
    </row>
    <row r="124" spans="1:52" x14ac:dyDescent="0.3">
      <c r="A124" s="2">
        <f t="shared" si="58"/>
        <v>74564.508458975994</v>
      </c>
      <c r="B124">
        <f t="shared" si="59"/>
        <v>27057.22503934714</v>
      </c>
      <c r="C124">
        <f t="shared" si="35"/>
        <v>5861.6498824800001</v>
      </c>
      <c r="D124">
        <f t="shared" si="36"/>
        <v>56275.440499999997</v>
      </c>
      <c r="E124">
        <f t="shared" si="31"/>
        <v>5627544.0499999998</v>
      </c>
      <c r="F124">
        <f t="shared" si="76"/>
        <v>5</v>
      </c>
      <c r="G124">
        <f t="shared" si="37"/>
        <v>1</v>
      </c>
      <c r="H124">
        <f t="shared" si="38"/>
        <v>6312384.8000000017</v>
      </c>
      <c r="I124">
        <f t="shared" si="39"/>
        <v>0</v>
      </c>
      <c r="J124">
        <f t="shared" si="60"/>
        <v>149040</v>
      </c>
      <c r="K124">
        <f t="shared" si="40"/>
        <v>0</v>
      </c>
      <c r="L124">
        <f t="shared" si="41"/>
        <v>55889.826764370206</v>
      </c>
      <c r="M124">
        <f t="shared" si="61"/>
        <v>0</v>
      </c>
      <c r="N124">
        <f t="shared" si="42"/>
        <v>0</v>
      </c>
      <c r="O124">
        <f t="shared" si="62"/>
        <v>0</v>
      </c>
      <c r="P124">
        <f t="shared" si="63"/>
        <v>460784.8190290163</v>
      </c>
      <c r="Q124">
        <f t="shared" si="43"/>
        <v>277949.91260590689</v>
      </c>
      <c r="R124">
        <f t="shared" si="44"/>
        <v>1</v>
      </c>
      <c r="S124">
        <f t="shared" si="45"/>
        <v>0</v>
      </c>
      <c r="T124">
        <f t="shared" si="46"/>
        <v>277949.91260590689</v>
      </c>
      <c r="U124">
        <f t="shared" si="47"/>
        <v>110737.8958494867</v>
      </c>
      <c r="V124" s="2">
        <f t="shared" si="48"/>
        <v>290595.54666643974</v>
      </c>
      <c r="X124" s="39">
        <f t="shared" si="64"/>
        <v>8</v>
      </c>
      <c r="Y124" s="42">
        <f t="shared" si="65"/>
        <v>25</v>
      </c>
      <c r="Z124" s="40">
        <f t="shared" si="66"/>
        <v>72</v>
      </c>
      <c r="AA124" s="40">
        <f t="shared" si="67"/>
        <v>66</v>
      </c>
      <c r="AB124" s="41">
        <f t="shared" si="68"/>
        <v>2026</v>
      </c>
      <c r="AD124" s="2">
        <f t="shared" si="33"/>
        <v>2182.950267937772</v>
      </c>
      <c r="AE124" s="2">
        <f t="shared" si="49"/>
        <v>0</v>
      </c>
      <c r="AF124" s="2">
        <f t="shared" si="69"/>
        <v>1946.3046278381664</v>
      </c>
      <c r="AG124" s="2">
        <f t="shared" si="50"/>
        <v>6293916.6138915801</v>
      </c>
      <c r="AH124" s="2">
        <f t="shared" si="51"/>
        <v>0</v>
      </c>
      <c r="AI124" s="2">
        <f t="shared" si="70"/>
        <v>3495690.0035353955</v>
      </c>
      <c r="AK124" s="38">
        <f t="shared" si="71"/>
        <v>2139722.7087598634</v>
      </c>
      <c r="AL124" s="26" t="str">
        <f t="shared" si="34"/>
        <v/>
      </c>
      <c r="AM124" s="63">
        <f t="shared" si="81"/>
        <v>3355693.8136208085</v>
      </c>
      <c r="AN124" s="38">
        <f t="shared" si="53"/>
        <v>6265858.7102410449</v>
      </c>
      <c r="AO124" s="38">
        <f t="shared" si="72"/>
        <v>201341.62881724851</v>
      </c>
      <c r="AP124" s="38">
        <f t="shared" si="78"/>
        <v>2782416.8377385037</v>
      </c>
      <c r="AQ124" s="38">
        <f t="shared" si="77"/>
        <v>277949.91260590689</v>
      </c>
      <c r="AS124" s="2">
        <f t="shared" si="73"/>
        <v>294724.80156221567</v>
      </c>
      <c r="AT124" s="2">
        <f t="shared" si="74"/>
        <v>83074.490386649763</v>
      </c>
      <c r="AU124" s="2">
        <f t="shared" si="75"/>
        <v>377799.2919488654</v>
      </c>
      <c r="AV124" s="22">
        <f t="shared" si="55"/>
        <v>-99849.379342958506</v>
      </c>
      <c r="AW124" s="22">
        <f t="shared" si="79"/>
        <v>-328248.23319955415</v>
      </c>
      <c r="AX124" s="45" t="str">
        <f t="shared" si="56"/>
        <v/>
      </c>
      <c r="AY124" s="58">
        <f t="shared" si="80"/>
        <v>-2725173.9885195447</v>
      </c>
      <c r="AZ124" s="2">
        <f t="shared" si="57"/>
        <v>-2725173.9885195447</v>
      </c>
    </row>
    <row r="125" spans="1:52" x14ac:dyDescent="0.3">
      <c r="A125" s="2">
        <f t="shared" si="58"/>
        <v>76801.443712745269</v>
      </c>
      <c r="B125">
        <f t="shared" si="59"/>
        <v>27868.941790527551</v>
      </c>
      <c r="C125">
        <f t="shared" si="35"/>
        <v>6037.4993789544005</v>
      </c>
      <c r="D125">
        <f t="shared" si="36"/>
        <v>57963.703714999996</v>
      </c>
      <c r="E125">
        <f t="shared" si="31"/>
        <v>5796370.3714999994</v>
      </c>
      <c r="F125">
        <f t="shared" si="76"/>
        <v>6</v>
      </c>
      <c r="G125">
        <f t="shared" si="37"/>
        <v>1</v>
      </c>
      <c r="H125">
        <f t="shared" si="38"/>
        <v>6691127.8880000021</v>
      </c>
      <c r="I125">
        <f t="shared" si="39"/>
        <v>0</v>
      </c>
      <c r="J125">
        <f t="shared" si="60"/>
        <v>140760</v>
      </c>
      <c r="K125">
        <f t="shared" si="40"/>
        <v>0</v>
      </c>
      <c r="L125">
        <f t="shared" si="41"/>
        <v>57566.521567301308</v>
      </c>
      <c r="M125">
        <f t="shared" si="61"/>
        <v>0</v>
      </c>
      <c r="N125">
        <f t="shared" si="42"/>
        <v>0</v>
      </c>
      <c r="O125">
        <f t="shared" si="62"/>
        <v>0</v>
      </c>
      <c r="P125">
        <f t="shared" si="63"/>
        <v>474608.36359988683</v>
      </c>
      <c r="Q125">
        <f t="shared" si="43"/>
        <v>303566.54560908215</v>
      </c>
      <c r="R125">
        <f t="shared" si="44"/>
        <v>0</v>
      </c>
      <c r="S125">
        <f t="shared" si="45"/>
        <v>303566.54560908215</v>
      </c>
      <c r="T125">
        <f t="shared" si="46"/>
        <v>0</v>
      </c>
      <c r="U125">
        <f>IF(AB125&gt;=2025,0.05*(AM125*0.66),0)</f>
        <v>118099.97790487055</v>
      </c>
      <c r="V125" s="2">
        <f t="shared" si="48"/>
        <v>298375.53146636987</v>
      </c>
      <c r="X125" s="39">
        <f t="shared" si="64"/>
        <v>9</v>
      </c>
      <c r="Y125" s="42">
        <f t="shared" si="65"/>
        <v>26</v>
      </c>
      <c r="Z125" s="40">
        <f t="shared" si="66"/>
        <v>73</v>
      </c>
      <c r="AA125" s="40">
        <f t="shared" si="67"/>
        <v>67</v>
      </c>
      <c r="AB125" s="41">
        <f t="shared" si="68"/>
        <v>2027</v>
      </c>
      <c r="AD125" s="2">
        <f t="shared" si="33"/>
        <v>2226.1726832429395</v>
      </c>
      <c r="AE125" s="2">
        <f t="shared" si="49"/>
        <v>980</v>
      </c>
      <c r="AF125" s="2">
        <f t="shared" si="69"/>
        <v>1984.8414594693622</v>
      </c>
      <c r="AG125" s="2">
        <f t="shared" si="50"/>
        <v>6671551.610725075</v>
      </c>
      <c r="AH125" s="2">
        <f t="shared" si="51"/>
        <v>0</v>
      </c>
      <c r="AI125" s="2">
        <f t="shared" si="70"/>
        <v>4055431.4037475195</v>
      </c>
      <c r="AK125" s="38">
        <f t="shared" si="71"/>
        <v>2268106.0712854555</v>
      </c>
      <c r="AL125" s="26" t="str">
        <f t="shared" si="34"/>
        <v/>
      </c>
      <c r="AM125" s="63">
        <f t="shared" si="81"/>
        <v>3578787.2092385013</v>
      </c>
      <c r="AN125" s="38">
        <f t="shared" si="53"/>
        <v>6450315.3958685789</v>
      </c>
      <c r="AO125" s="38">
        <f t="shared" si="72"/>
        <v>214727.23255431006</v>
      </c>
      <c r="AP125" s="38">
        <f t="shared" si="78"/>
        <v>2846086.2632342782</v>
      </c>
      <c r="AQ125" s="38">
        <f t="shared" si="77"/>
        <v>304888.34405738523</v>
      </c>
      <c r="AS125" s="2">
        <f t="shared" si="73"/>
        <v>303566.54560908215</v>
      </c>
      <c r="AT125" s="2">
        <f t="shared" si="74"/>
        <v>85892.32001699903</v>
      </c>
      <c r="AU125" s="2">
        <f t="shared" si="75"/>
        <v>389458.86562608118</v>
      </c>
      <c r="AV125" s="66">
        <f>AQ125-AU125</f>
        <v>-84570.521568695956</v>
      </c>
      <c r="AW125" s="22">
        <f t="shared" si="79"/>
        <v>-327166.69591353356</v>
      </c>
      <c r="AX125" s="45" t="str">
        <f t="shared" si="56"/>
        <v/>
      </c>
      <c r="AY125" s="58">
        <f t="shared" si="80"/>
        <v>-3215851.1237442512</v>
      </c>
      <c r="AZ125" s="2">
        <f t="shared" si="57"/>
        <v>-3215851.1237442512</v>
      </c>
    </row>
    <row r="126" spans="1:52" x14ac:dyDescent="0.3">
      <c r="A126" s="2">
        <f t="shared" si="58"/>
        <v>79105.487024127622</v>
      </c>
      <c r="B126">
        <f t="shared" si="59"/>
        <v>28705.01004424338</v>
      </c>
      <c r="C126">
        <f t="shared" si="35"/>
        <v>6218.6243603230305</v>
      </c>
      <c r="D126">
        <f t="shared" si="36"/>
        <v>59702.614826449993</v>
      </c>
      <c r="E126">
        <f t="shared" si="31"/>
        <v>5970261.4826449994</v>
      </c>
      <c r="F126">
        <f t="shared" si="76"/>
        <v>7</v>
      </c>
      <c r="G126">
        <f t="shared" si="37"/>
        <v>1</v>
      </c>
      <c r="H126">
        <f t="shared" si="38"/>
        <v>7092595.5612800028</v>
      </c>
      <c r="I126">
        <f t="shared" si="39"/>
        <v>0</v>
      </c>
      <c r="J126">
        <f t="shared" si="60"/>
        <v>132480</v>
      </c>
      <c r="K126">
        <f t="shared" si="40"/>
        <v>0</v>
      </c>
      <c r="L126">
        <f t="shared" si="41"/>
        <v>59293.517214320353</v>
      </c>
      <c r="M126">
        <f t="shared" si="61"/>
        <v>0</v>
      </c>
      <c r="N126">
        <f t="shared" si="42"/>
        <v>0</v>
      </c>
      <c r="O126">
        <f t="shared" si="62"/>
        <v>0</v>
      </c>
      <c r="P126">
        <f t="shared" si="63"/>
        <v>488846.61450788344</v>
      </c>
      <c r="Q126">
        <f t="shared" si="43"/>
        <v>312673.54197735462</v>
      </c>
      <c r="R126">
        <f t="shared" si="44"/>
        <v>0</v>
      </c>
      <c r="S126">
        <f t="shared" si="45"/>
        <v>312673.54197735462</v>
      </c>
      <c r="T126">
        <f t="shared" si="46"/>
        <v>0</v>
      </c>
      <c r="U126">
        <f t="shared" si="47"/>
        <v>125939.47561401624</v>
      </c>
      <c r="V126" s="2">
        <f t="shared" si="48"/>
        <v>307379.74575461663</v>
      </c>
      <c r="X126" s="39">
        <f t="shared" si="64"/>
        <v>10</v>
      </c>
      <c r="Y126" s="42">
        <f t="shared" si="65"/>
        <v>27</v>
      </c>
      <c r="Z126" s="40">
        <f t="shared" si="66"/>
        <v>74</v>
      </c>
      <c r="AA126" s="40">
        <f t="shared" si="67"/>
        <v>68</v>
      </c>
      <c r="AB126" s="41">
        <f t="shared" si="68"/>
        <v>2028</v>
      </c>
      <c r="AD126" s="2">
        <f t="shared" si="33"/>
        <v>2270.2509023711496</v>
      </c>
      <c r="AE126" s="2">
        <f t="shared" si="49"/>
        <v>999.404</v>
      </c>
      <c r="AF126" s="2">
        <f t="shared" si="69"/>
        <v>2024.1413203668553</v>
      </c>
      <c r="AG126" s="2">
        <f t="shared" si="50"/>
        <v>7071844.7073685797</v>
      </c>
      <c r="AH126" s="2">
        <f t="shared" si="51"/>
        <v>0</v>
      </c>
      <c r="AI126" s="2">
        <f t="shared" si="70"/>
        <v>4648757.2879723711</v>
      </c>
      <c r="AK126" s="38">
        <f t="shared" si="71"/>
        <v>2404192.4355625832</v>
      </c>
      <c r="AL126" s="26" t="str">
        <f t="shared" si="34"/>
        <v/>
      </c>
      <c r="AM126" s="63">
        <f t="shared" si="81"/>
        <v>3816347.7458792794</v>
      </c>
      <c r="AN126" s="38">
        <f t="shared" si="53"/>
        <v>6639947.1266030259</v>
      </c>
      <c r="AO126" s="38">
        <f t="shared" si="72"/>
        <v>228980.86475275675</v>
      </c>
      <c r="AP126" s="38">
        <f t="shared" si="78"/>
        <v>2909917.2065856792</v>
      </c>
      <c r="AQ126" s="38">
        <f t="shared" si="77"/>
        <v>321211.4294698562</v>
      </c>
      <c r="AS126" s="2">
        <f t="shared" si="73"/>
        <v>312673.54197735462</v>
      </c>
      <c r="AT126" s="2">
        <f t="shared" si="74"/>
        <v>86894.089617509017</v>
      </c>
      <c r="AU126" s="2">
        <f t="shared" si="75"/>
        <v>399567.6315948636</v>
      </c>
      <c r="AV126" s="22">
        <f t="shared" si="55"/>
        <v>-78356.202125007403</v>
      </c>
      <c r="AW126" s="22">
        <f>(AU126-((AD126+AE126+AF126)*12))*-1</f>
        <v>-336042.07692200755</v>
      </c>
      <c r="AX126" s="45" t="str">
        <f t="shared" si="56"/>
        <v/>
      </c>
      <c r="AY126" s="58">
        <f t="shared" si="80"/>
        <v>-3744844.268090914</v>
      </c>
      <c r="AZ126" s="2">
        <f t="shared" si="57"/>
        <v>-3744844.268090914</v>
      </c>
    </row>
    <row r="127" spans="1:52" x14ac:dyDescent="0.3">
      <c r="A127" s="2">
        <f t="shared" si="58"/>
        <v>81478.651634851456</v>
      </c>
      <c r="B127">
        <f t="shared" si="59"/>
        <v>29566.160345570679</v>
      </c>
      <c r="C127">
        <f t="shared" si="35"/>
        <v>6405.1830911327233</v>
      </c>
      <c r="D127">
        <f t="shared" si="36"/>
        <v>61493.693271243501</v>
      </c>
      <c r="E127">
        <f t="shared" si="31"/>
        <v>6149369.3271243498</v>
      </c>
      <c r="F127">
        <f t="shared" si="76"/>
        <v>8</v>
      </c>
      <c r="G127">
        <f t="shared" si="37"/>
        <v>1</v>
      </c>
      <c r="H127">
        <f t="shared" si="38"/>
        <v>7518151.2949568043</v>
      </c>
      <c r="I127">
        <f t="shared" si="39"/>
        <v>0</v>
      </c>
      <c r="J127">
        <f t="shared" si="60"/>
        <v>124199.99999999999</v>
      </c>
      <c r="K127">
        <f t="shared" si="40"/>
        <v>0</v>
      </c>
      <c r="L127">
        <f t="shared" si="41"/>
        <v>61072.322730749969</v>
      </c>
      <c r="M127">
        <f t="shared" si="61"/>
        <v>0</v>
      </c>
      <c r="N127">
        <f t="shared" si="42"/>
        <v>0</v>
      </c>
      <c r="O127">
        <f t="shared" si="62"/>
        <v>0</v>
      </c>
      <c r="P127">
        <f t="shared" si="63"/>
        <v>503512.01294311997</v>
      </c>
      <c r="Q127">
        <f t="shared" si="43"/>
        <v>322053.74823667528</v>
      </c>
      <c r="R127">
        <f t="shared" si="44"/>
        <v>0</v>
      </c>
      <c r="S127">
        <f t="shared" si="45"/>
        <v>322053.74823667528</v>
      </c>
      <c r="T127">
        <f t="shared" si="46"/>
        <v>0</v>
      </c>
      <c r="U127">
        <f t="shared" si="47"/>
        <v>133956.45561243093</v>
      </c>
      <c r="V127" s="2">
        <f t="shared" si="48"/>
        <v>316655.13484872709</v>
      </c>
      <c r="X127" s="39">
        <f t="shared" si="64"/>
        <v>11</v>
      </c>
      <c r="Y127" s="42">
        <f t="shared" si="65"/>
        <v>28</v>
      </c>
      <c r="Z127" s="40">
        <f t="shared" si="66"/>
        <v>75</v>
      </c>
      <c r="AA127" s="40">
        <f t="shared" si="67"/>
        <v>69</v>
      </c>
      <c r="AB127" s="41">
        <f t="shared" si="68"/>
        <v>2029</v>
      </c>
      <c r="AD127" s="2">
        <f t="shared" si="33"/>
        <v>2315.2018702380988</v>
      </c>
      <c r="AE127" s="2">
        <f t="shared" si="49"/>
        <v>1019.1921992</v>
      </c>
      <c r="AF127" s="2">
        <f t="shared" si="69"/>
        <v>2064.2193185101191</v>
      </c>
      <c r="AG127" s="2">
        <f t="shared" si="50"/>
        <v>7496155.3898106953</v>
      </c>
      <c r="AH127" s="2">
        <f t="shared" si="51"/>
        <v>0</v>
      </c>
      <c r="AI127" s="2">
        <f t="shared" si="70"/>
        <v>5277682.7252507135</v>
      </c>
      <c r="AK127" s="38">
        <f t="shared" si="71"/>
        <v>2548443.9816963384</v>
      </c>
      <c r="AL127" s="26" t="str">
        <f t="shared" si="34"/>
        <v/>
      </c>
      <c r="AM127" s="63">
        <f t="shared" si="81"/>
        <v>4059286.533710028</v>
      </c>
      <c r="AN127" s="38">
        <f t="shared" si="53"/>
        <v>6834907.4999656659</v>
      </c>
      <c r="AO127" s="38">
        <f t="shared" si="72"/>
        <v>243557.19202260167</v>
      </c>
      <c r="AP127" s="38">
        <f t="shared" si="78"/>
        <v>2973797.0189072192</v>
      </c>
      <c r="AQ127" s="38">
        <f t="shared" si="77"/>
        <v>337906.71302355092</v>
      </c>
      <c r="AS127" s="2">
        <f t="shared" si="73"/>
        <v>322053.74823667528</v>
      </c>
      <c r="AT127" s="2">
        <f t="shared" si="74"/>
        <v>87925.912306034283</v>
      </c>
      <c r="AU127" s="2">
        <f t="shared" si="75"/>
        <v>409979.66054270958</v>
      </c>
      <c r="AV127" s="22">
        <f t="shared" si="55"/>
        <v>-72072.947519158653</v>
      </c>
      <c r="AW127" s="22">
        <f t="shared" si="79"/>
        <v>-345196.29988733097</v>
      </c>
      <c r="AX127" s="45" t="str">
        <f t="shared" si="56"/>
        <v/>
      </c>
      <c r="AY127" s="58">
        <f t="shared" si="80"/>
        <v>-4314731.2240637001</v>
      </c>
      <c r="AZ127" s="2">
        <f t="shared" si="57"/>
        <v>-4314731.2240637001</v>
      </c>
    </row>
    <row r="128" spans="1:52" x14ac:dyDescent="0.3">
      <c r="A128" s="2">
        <f t="shared" si="58"/>
        <v>83923.01118389699</v>
      </c>
      <c r="B128">
        <f t="shared" si="59"/>
        <v>30453.1451559378</v>
      </c>
      <c r="C128">
        <f t="shared" si="35"/>
        <v>6597.3385838667045</v>
      </c>
      <c r="D128">
        <f t="shared" si="36"/>
        <v>63338.504069380797</v>
      </c>
      <c r="E128">
        <f t="shared" si="31"/>
        <v>6333850.4069380797</v>
      </c>
      <c r="F128">
        <f t="shared" si="76"/>
        <v>9</v>
      </c>
      <c r="G128">
        <f t="shared" si="37"/>
        <v>1</v>
      </c>
      <c r="H128">
        <f t="shared" si="38"/>
        <v>7969240.3726542117</v>
      </c>
      <c r="I128">
        <f t="shared" si="39"/>
        <v>0</v>
      </c>
      <c r="J128">
        <f t="shared" si="60"/>
        <v>115919.99999999999</v>
      </c>
      <c r="K128">
        <f t="shared" si="40"/>
        <v>0</v>
      </c>
      <c r="L128">
        <f t="shared" si="41"/>
        <v>62904.492412672451</v>
      </c>
      <c r="M128">
        <f t="shared" si="61"/>
        <v>0</v>
      </c>
      <c r="N128">
        <f t="shared" si="42"/>
        <v>0</v>
      </c>
      <c r="O128">
        <f t="shared" si="62"/>
        <v>0</v>
      </c>
      <c r="P128">
        <f t="shared" si="63"/>
        <v>518617.3733314136</v>
      </c>
      <c r="Q128">
        <f t="shared" si="43"/>
        <v>331715.36068377551</v>
      </c>
      <c r="R128">
        <f t="shared" si="44"/>
        <v>0</v>
      </c>
      <c r="S128">
        <f t="shared" si="45"/>
        <v>331715.36068377551</v>
      </c>
      <c r="T128">
        <f t="shared" si="46"/>
        <v>0</v>
      </c>
      <c r="U128">
        <f t="shared" si="47"/>
        <v>142152.36505289489</v>
      </c>
      <c r="V128" s="2">
        <f t="shared" si="48"/>
        <v>326209.85475074593</v>
      </c>
      <c r="X128" s="39">
        <f t="shared" si="64"/>
        <v>12</v>
      </c>
      <c r="Y128" s="42">
        <f t="shared" si="65"/>
        <v>29</v>
      </c>
      <c r="Z128" s="40">
        <f t="shared" si="66"/>
        <v>76</v>
      </c>
      <c r="AA128" s="40">
        <f t="shared" si="67"/>
        <v>70</v>
      </c>
      <c r="AB128" s="41">
        <f t="shared" si="68"/>
        <v>2030</v>
      </c>
      <c r="AD128" s="2">
        <f t="shared" si="33"/>
        <v>2361.0428672688126</v>
      </c>
      <c r="AE128" s="2">
        <f t="shared" si="49"/>
        <v>1039.3722047441599</v>
      </c>
      <c r="AF128" s="2">
        <f t="shared" si="69"/>
        <v>2105.0908610166193</v>
      </c>
      <c r="AG128" s="2">
        <f t="shared" si="50"/>
        <v>7945924.713199337</v>
      </c>
      <c r="AH128" s="2">
        <f t="shared" si="51"/>
        <v>0</v>
      </c>
      <c r="AI128" s="2">
        <f t="shared" si="70"/>
        <v>5944343.6887657568</v>
      </c>
      <c r="AK128" s="38">
        <f t="shared" si="71"/>
        <v>2701350.6205981188</v>
      </c>
      <c r="AL128" s="26" t="str">
        <f t="shared" si="34"/>
        <v/>
      </c>
      <c r="AM128" s="63">
        <f t="shared" si="81"/>
        <v>4307647.4258452998</v>
      </c>
      <c r="AN128" s="38">
        <f t="shared" si="53"/>
        <v>7035354.6965959342</v>
      </c>
      <c r="AO128" s="38">
        <f t="shared" si="72"/>
        <v>258458.84555071799</v>
      </c>
      <c r="AP128" s="38">
        <f t="shared" si="78"/>
        <v>3037602.3730871603</v>
      </c>
      <c r="AQ128" s="38">
        <f t="shared" si="77"/>
        <v>354978.06190301094</v>
      </c>
      <c r="AS128" s="2">
        <f t="shared" si="73"/>
        <v>331715.36068377551</v>
      </c>
      <c r="AT128" s="2">
        <f t="shared" si="74"/>
        <v>88988.689675215312</v>
      </c>
      <c r="AU128" s="2">
        <f t="shared" si="75"/>
        <v>420704.05035899079</v>
      </c>
      <c r="AV128" s="22">
        <f t="shared" si="55"/>
        <v>-65725.988455979852</v>
      </c>
      <c r="AW128" s="22">
        <f t="shared" si="79"/>
        <v>-354637.97916263569</v>
      </c>
      <c r="AX128" s="45" t="str">
        <f t="shared" si="56"/>
        <v/>
      </c>
      <c r="AY128" s="58">
        <f t="shared" si="80"/>
        <v>-4928253.0766701577</v>
      </c>
      <c r="AZ128" s="2">
        <f t="shared" si="57"/>
        <v>-4928253.0766701577</v>
      </c>
    </row>
    <row r="129" spans="1:52" x14ac:dyDescent="0.3">
      <c r="A129" s="2">
        <f t="shared" si="58"/>
        <v>86440.701519413909</v>
      </c>
      <c r="B129">
        <f t="shared" si="59"/>
        <v>31366.739510615931</v>
      </c>
      <c r="C129">
        <f t="shared" si="35"/>
        <v>6795.2587413827041</v>
      </c>
      <c r="D129">
        <f t="shared" si="36"/>
        <v>65238.659191462219</v>
      </c>
      <c r="E129">
        <f t="shared" si="31"/>
        <v>6523865.9191462221</v>
      </c>
      <c r="F129">
        <f t="shared" si="76"/>
        <v>10</v>
      </c>
      <c r="G129">
        <f t="shared" si="37"/>
        <v>1</v>
      </c>
      <c r="H129">
        <f t="shared" si="38"/>
        <v>8447394.795013465</v>
      </c>
      <c r="I129">
        <f t="shared" si="39"/>
        <v>0</v>
      </c>
      <c r="J129">
        <f t="shared" si="60"/>
        <v>107640</v>
      </c>
      <c r="K129">
        <f t="shared" si="40"/>
        <v>0</v>
      </c>
      <c r="L129">
        <f t="shared" si="41"/>
        <v>64791.627185052625</v>
      </c>
      <c r="M129">
        <f t="shared" si="61"/>
        <v>0</v>
      </c>
      <c r="N129">
        <f t="shared" si="42"/>
        <v>0</v>
      </c>
      <c r="O129">
        <f t="shared" si="62"/>
        <v>0</v>
      </c>
      <c r="P129">
        <f t="shared" si="63"/>
        <v>534175.89453135605</v>
      </c>
      <c r="Q129">
        <f t="shared" si="43"/>
        <v>341666.82150428882</v>
      </c>
      <c r="R129">
        <f t="shared" si="44"/>
        <v>0</v>
      </c>
      <c r="S129">
        <f t="shared" si="45"/>
        <v>341666.82150428882</v>
      </c>
      <c r="T129">
        <f t="shared" si="46"/>
        <v>0</v>
      </c>
      <c r="U129">
        <f t="shared" si="47"/>
        <v>150528.45364370159</v>
      </c>
      <c r="V129" s="2">
        <f t="shared" si="48"/>
        <v>336052.30655378522</v>
      </c>
      <c r="X129" s="39">
        <f t="shared" si="64"/>
        <v>13</v>
      </c>
      <c r="Y129" s="42">
        <f t="shared" si="65"/>
        <v>30</v>
      </c>
      <c r="Z129" s="40">
        <f t="shared" si="66"/>
        <v>77</v>
      </c>
      <c r="AA129" s="40">
        <f t="shared" si="67"/>
        <v>71</v>
      </c>
      <c r="AB129" s="41">
        <f t="shared" si="68"/>
        <v>2031</v>
      </c>
      <c r="AD129" s="2">
        <f t="shared" si="33"/>
        <v>2407.7915160407356</v>
      </c>
      <c r="AE129" s="2">
        <f t="shared" si="49"/>
        <v>1059.9517743980944</v>
      </c>
      <c r="AF129" s="2">
        <f t="shared" si="69"/>
        <v>2146.7716600647482</v>
      </c>
      <c r="AG129" s="2">
        <f t="shared" si="50"/>
        <v>8422680.1959912982</v>
      </c>
      <c r="AH129" s="2">
        <f t="shared" si="51"/>
        <v>0</v>
      </c>
      <c r="AI129" s="2">
        <f t="shared" si="70"/>
        <v>6651004.3100917023</v>
      </c>
      <c r="AK129" s="38">
        <f t="shared" si="71"/>
        <v>2863431.657834006</v>
      </c>
      <c r="AL129" s="26" t="str">
        <f t="shared" si="34"/>
        <v/>
      </c>
      <c r="AM129" s="63">
        <f t="shared" si="81"/>
        <v>4561468.2922333814</v>
      </c>
      <c r="AN129" s="38">
        <f t="shared" si="53"/>
        <v>7241451.617372863</v>
      </c>
      <c r="AO129" s="38">
        <f t="shared" si="72"/>
        <v>273688.09753400285</v>
      </c>
      <c r="AP129" s="38">
        <f t="shared" si="78"/>
        <v>3101198.5005830582</v>
      </c>
      <c r="AQ129" s="38">
        <f t="shared" si="77"/>
        <v>372429.0164506617</v>
      </c>
      <c r="AS129" s="2">
        <f t="shared" si="73"/>
        <v>341666.82150428882</v>
      </c>
      <c r="AT129" s="2">
        <f t="shared" si="74"/>
        <v>90083.350365471764</v>
      </c>
      <c r="AU129" s="2">
        <f t="shared" si="75"/>
        <v>431750.17186976061</v>
      </c>
      <c r="AV129" s="22">
        <f t="shared" si="55"/>
        <v>-59321.155419098912</v>
      </c>
      <c r="AW129" s="22">
        <f t="shared" si="79"/>
        <v>-364375.9924637177</v>
      </c>
      <c r="AX129" s="45" t="str">
        <f t="shared" si="56"/>
        <v/>
      </c>
      <c r="AY129" s="58">
        <f t="shared" si="80"/>
        <v>-5588324.2537340857</v>
      </c>
      <c r="AZ129" s="2">
        <f t="shared" si="57"/>
        <v>-5588324.2537340857</v>
      </c>
    </row>
    <row r="130" spans="1:52" x14ac:dyDescent="0.3">
      <c r="A130" s="2">
        <f t="shared" si="58"/>
        <v>89033.922564996319</v>
      </c>
      <c r="B130">
        <f t="shared" si="59"/>
        <v>32307.741695934405</v>
      </c>
      <c r="C130">
        <f t="shared" si="35"/>
        <v>6999.1165036241855</v>
      </c>
      <c r="D130">
        <f t="shared" si="36"/>
        <v>67195.818967206083</v>
      </c>
      <c r="E130">
        <f t="shared" si="31"/>
        <v>6719581.8967206087</v>
      </c>
      <c r="F130">
        <f t="shared" si="76"/>
        <v>11</v>
      </c>
      <c r="G130">
        <f t="shared" si="37"/>
        <v>1</v>
      </c>
      <c r="H130">
        <f t="shared" si="38"/>
        <v>8954238.482714273</v>
      </c>
      <c r="I130">
        <f t="shared" si="39"/>
        <v>0</v>
      </c>
      <c r="J130">
        <f t="shared" si="60"/>
        <v>99360</v>
      </c>
      <c r="K130">
        <f t="shared" si="40"/>
        <v>0</v>
      </c>
      <c r="L130">
        <f t="shared" si="41"/>
        <v>66735.376000604214</v>
      </c>
      <c r="M130">
        <f t="shared" si="61"/>
        <v>0</v>
      </c>
      <c r="N130">
        <f t="shared" si="42"/>
        <v>0</v>
      </c>
      <c r="O130">
        <f t="shared" si="62"/>
        <v>0</v>
      </c>
      <c r="P130">
        <f t="shared" si="63"/>
        <v>550201.17136729672</v>
      </c>
      <c r="Q130">
        <f t="shared" si="43"/>
        <v>351916.82614941744</v>
      </c>
      <c r="R130">
        <f t="shared" si="44"/>
        <v>0</v>
      </c>
      <c r="S130">
        <f t="shared" si="45"/>
        <v>351916.82614941744</v>
      </c>
      <c r="T130">
        <f t="shared" si="46"/>
        <v>0</v>
      </c>
      <c r="U130">
        <f t="shared" si="47"/>
        <v>159085.75311102101</v>
      </c>
      <c r="V130" s="2">
        <f t="shared" si="48"/>
        <v>346191.14380289387</v>
      </c>
      <c r="X130" s="39">
        <f t="shared" si="64"/>
        <v>14</v>
      </c>
      <c r="Y130" s="42">
        <f t="shared" si="65"/>
        <v>31</v>
      </c>
      <c r="Z130" s="40">
        <f t="shared" ref="Z130:Z150" si="82">Z129+1</f>
        <v>78</v>
      </c>
      <c r="AA130" s="40">
        <f t="shared" ref="AA130:AA150" si="83">AA129+1</f>
        <v>72</v>
      </c>
      <c r="AB130" s="41">
        <f t="shared" si="68"/>
        <v>2032</v>
      </c>
      <c r="AD130" s="2">
        <f t="shared" si="33"/>
        <v>2455.4657880583418</v>
      </c>
      <c r="AE130" s="2">
        <f t="shared" si="49"/>
        <v>1080.9388195311765</v>
      </c>
      <c r="AF130" s="2">
        <f t="shared" si="69"/>
        <v>2189.2777389340304</v>
      </c>
      <c r="AG130" s="2">
        <f t="shared" si="50"/>
        <v>8928041.0077507757</v>
      </c>
      <c r="AH130" s="2">
        <f t="shared" si="51"/>
        <v>0</v>
      </c>
      <c r="AI130" s="2">
        <f t="shared" si="70"/>
        <v>7400064.5686972048</v>
      </c>
      <c r="AK130" s="38">
        <f t="shared" si="71"/>
        <v>3035237.5573040466</v>
      </c>
      <c r="AL130" s="26" t="str">
        <f t="shared" si="34"/>
        <v/>
      </c>
      <c r="AM130" s="63">
        <f t="shared" si="81"/>
        <v>4820780.3973036669</v>
      </c>
      <c r="AN130" s="38">
        <f t="shared" si="53"/>
        <v>7453366.0246445676</v>
      </c>
      <c r="AO130" s="38">
        <f t="shared" si="72"/>
        <v>289246.82383821998</v>
      </c>
      <c r="AP130" s="38">
        <f t="shared" si="78"/>
        <v>3164438.3786520893</v>
      </c>
      <c r="AQ130" s="38">
        <f t="shared" si="77"/>
        <v>390262.75369243691</v>
      </c>
      <c r="AS130" s="2">
        <f t="shared" si="73"/>
        <v>351916.82614941744</v>
      </c>
      <c r="AT130" s="2">
        <f t="shared" si="74"/>
        <v>91210.850876435929</v>
      </c>
      <c r="AU130" s="2">
        <f t="shared" si="75"/>
        <v>443127.67702585337</v>
      </c>
      <c r="AV130" s="22">
        <f t="shared" si="55"/>
        <v>-52864.92333341646</v>
      </c>
      <c r="AW130" s="22">
        <f t="shared" si="79"/>
        <v>-374419.48886757076</v>
      </c>
      <c r="AX130" s="45" t="str">
        <f t="shared" si="56"/>
        <v/>
      </c>
      <c r="AY130" s="58">
        <f t="shared" si="80"/>
        <v>-6298043.1978257019</v>
      </c>
      <c r="AZ130" s="2">
        <f t="shared" si="57"/>
        <v>-6298043.1978257019</v>
      </c>
    </row>
    <row r="131" spans="1:52" x14ac:dyDescent="0.3">
      <c r="A131" s="2">
        <f t="shared" si="58"/>
        <v>91704.940241946228</v>
      </c>
      <c r="B131">
        <f t="shared" si="59"/>
        <v>33276.973946812439</v>
      </c>
      <c r="C131">
        <f t="shared" si="35"/>
        <v>7209.0899987329121</v>
      </c>
      <c r="D131">
        <f t="shared" si="36"/>
        <v>69211.693536222272</v>
      </c>
      <c r="E131">
        <f t="shared" si="31"/>
        <v>6921169.353622227</v>
      </c>
      <c r="F131">
        <f t="shared" si="76"/>
        <v>12</v>
      </c>
      <c r="G131">
        <f t="shared" si="37"/>
        <v>1</v>
      </c>
      <c r="H131">
        <f t="shared" si="38"/>
        <v>9491492.7916771304</v>
      </c>
      <c r="I131">
        <f t="shared" si="39"/>
        <v>0</v>
      </c>
      <c r="J131">
        <f t="shared" si="60"/>
        <v>91080</v>
      </c>
      <c r="K131">
        <f t="shared" si="40"/>
        <v>0</v>
      </c>
      <c r="L131">
        <f t="shared" si="41"/>
        <v>68737.437280622325</v>
      </c>
      <c r="M131">
        <f t="shared" si="61"/>
        <v>0</v>
      </c>
      <c r="N131">
        <f t="shared" si="42"/>
        <v>0</v>
      </c>
      <c r="O131">
        <f t="shared" si="62"/>
        <v>0</v>
      </c>
      <c r="P131">
        <f t="shared" si="63"/>
        <v>566707.20650831563</v>
      </c>
      <c r="Q131">
        <f t="shared" si="43"/>
        <v>362474.33093389997</v>
      </c>
      <c r="R131">
        <f t="shared" si="44"/>
        <v>0</v>
      </c>
      <c r="S131">
        <f t="shared" si="45"/>
        <v>362474.33093389997</v>
      </c>
      <c r="T131">
        <f t="shared" si="46"/>
        <v>0</v>
      </c>
      <c r="U131">
        <f t="shared" si="47"/>
        <v>167825.05516505244</v>
      </c>
      <c r="V131" s="2">
        <f t="shared" si="48"/>
        <v>356635.28007691528</v>
      </c>
      <c r="X131" s="39">
        <f t="shared" si="64"/>
        <v>15</v>
      </c>
      <c r="Y131" s="42">
        <f t="shared" si="65"/>
        <v>32</v>
      </c>
      <c r="Z131" s="40">
        <f t="shared" si="82"/>
        <v>79</v>
      </c>
      <c r="AA131" s="40">
        <f t="shared" si="83"/>
        <v>73</v>
      </c>
      <c r="AB131" s="41">
        <f t="shared" si="68"/>
        <v>2033</v>
      </c>
      <c r="AD131" s="2">
        <f t="shared" si="33"/>
        <v>2504.0840106618966</v>
      </c>
      <c r="AE131" s="2">
        <f t="shared" si="49"/>
        <v>1102.3414081578937</v>
      </c>
      <c r="AF131" s="2">
        <f t="shared" si="69"/>
        <v>2232.6254381649242</v>
      </c>
      <c r="AG131" s="2">
        <f t="shared" si="50"/>
        <v>9463723.4682158232</v>
      </c>
      <c r="AH131" s="2">
        <f t="shared" si="51"/>
        <v>0</v>
      </c>
      <c r="AI131" s="2">
        <f t="shared" si="70"/>
        <v>8194068.4428190375</v>
      </c>
      <c r="AK131" s="38">
        <f t="shared" si="71"/>
        <v>3217351.8107422898</v>
      </c>
      <c r="AL131" s="26" t="str">
        <f t="shared" si="34"/>
        <v/>
      </c>
      <c r="AM131" s="63">
        <f t="shared" si="81"/>
        <v>5085607.7322743163</v>
      </c>
      <c r="AN131" s="38">
        <f t="shared" si="53"/>
        <v>7671270.6876889635</v>
      </c>
      <c r="AO131" s="38">
        <f t="shared" si="72"/>
        <v>305136.46393645898</v>
      </c>
      <c r="AP131" s="38">
        <f t="shared" si="78"/>
        <v>3227161.8649270702</v>
      </c>
      <c r="AQ131" s="38">
        <f t="shared" si="77"/>
        <v>408482.04816708801</v>
      </c>
      <c r="AS131" s="2">
        <f t="shared" si="73"/>
        <v>362474.33093389997</v>
      </c>
      <c r="AT131" s="2">
        <f t="shared" si="74"/>
        <v>92372.176402729005</v>
      </c>
      <c r="AU131" s="2">
        <f t="shared" si="75"/>
        <v>454846.50733662897</v>
      </c>
      <c r="AV131" s="22">
        <f t="shared" si="55"/>
        <v>-46364.459169540962</v>
      </c>
      <c r="AW131" s="22">
        <f t="shared" si="79"/>
        <v>-384777.89705281239</v>
      </c>
      <c r="AX131" s="45" t="str">
        <f t="shared" si="56"/>
        <v/>
      </c>
      <c r="AY131" s="58">
        <f t="shared" si="80"/>
        <v>-7060703.6867480567</v>
      </c>
      <c r="AZ131" s="2">
        <f t="shared" si="57"/>
        <v>-7060703.6867480567</v>
      </c>
    </row>
    <row r="132" spans="1:52" x14ac:dyDescent="0.3">
      <c r="A132" s="2">
        <f t="shared" si="58"/>
        <v>94456.088449204588</v>
      </c>
      <c r="B132">
        <f t="shared" si="59"/>
        <v>34275.283165216817</v>
      </c>
      <c r="C132">
        <f t="shared" si="35"/>
        <v>7425.3626986948984</v>
      </c>
      <c r="D132">
        <f t="shared" si="36"/>
        <v>71288.044342308931</v>
      </c>
      <c r="E132">
        <f t="shared" si="31"/>
        <v>7128804.4342308929</v>
      </c>
      <c r="F132">
        <f t="shared" si="76"/>
        <v>13</v>
      </c>
      <c r="G132">
        <f t="shared" si="37"/>
        <v>1</v>
      </c>
      <c r="H132">
        <f t="shared" si="38"/>
        <v>10060982.359177759</v>
      </c>
      <c r="I132">
        <f t="shared" si="39"/>
        <v>0</v>
      </c>
      <c r="J132">
        <f t="shared" si="60"/>
        <v>82800</v>
      </c>
      <c r="K132">
        <f t="shared" si="40"/>
        <v>0</v>
      </c>
      <c r="L132">
        <f t="shared" si="41"/>
        <v>70799.560399041002</v>
      </c>
      <c r="M132">
        <f t="shared" si="61"/>
        <v>0</v>
      </c>
      <c r="N132">
        <f t="shared" si="42"/>
        <v>0</v>
      </c>
      <c r="O132">
        <f t="shared" si="62"/>
        <v>0</v>
      </c>
      <c r="P132">
        <f t="shared" si="63"/>
        <v>583708.4227035651</v>
      </c>
      <c r="Q132">
        <f t="shared" si="43"/>
        <v>373348.56086191692</v>
      </c>
      <c r="R132">
        <f t="shared" si="44"/>
        <v>0</v>
      </c>
      <c r="S132">
        <f t="shared" si="45"/>
        <v>373348.56086191692</v>
      </c>
      <c r="T132">
        <f t="shared" si="46"/>
        <v>0</v>
      </c>
      <c r="U132">
        <f t="shared" si="47"/>
        <v>176746.88787221283</v>
      </c>
      <c r="V132" s="2">
        <f t="shared" si="48"/>
        <v>367393.89679796388</v>
      </c>
      <c r="X132" s="39">
        <f t="shared" si="64"/>
        <v>16</v>
      </c>
      <c r="Y132" s="42">
        <f t="shared" si="65"/>
        <v>33</v>
      </c>
      <c r="Z132" s="40">
        <f t="shared" si="82"/>
        <v>80</v>
      </c>
      <c r="AA132" s="40">
        <f t="shared" si="83"/>
        <v>74</v>
      </c>
      <c r="AB132" s="41">
        <f t="shared" si="68"/>
        <v>2034</v>
      </c>
      <c r="AD132" s="2">
        <f t="shared" si="33"/>
        <v>2553.6648740730025</v>
      </c>
      <c r="AE132" s="2">
        <f t="shared" si="49"/>
        <v>1124.1677680394203</v>
      </c>
      <c r="AF132" s="2">
        <f t="shared" si="69"/>
        <v>2276.8314218405894</v>
      </c>
      <c r="AG132" s="2">
        <f t="shared" si="50"/>
        <v>10031546.876308773</v>
      </c>
      <c r="AH132" s="2">
        <f t="shared" si="51"/>
        <v>0</v>
      </c>
      <c r="AI132" s="2">
        <f t="shared" si="70"/>
        <v>9035712.5493881796</v>
      </c>
      <c r="AK132" s="38">
        <f t="shared" si="71"/>
        <v>3410392.9193868274</v>
      </c>
      <c r="AL132" s="26" t="str">
        <f t="shared" si="34"/>
        <v/>
      </c>
      <c r="AM132" s="63">
        <f t="shared" si="81"/>
        <v>5355966.2991579641</v>
      </c>
      <c r="AN132" s="38">
        <f t="shared" si="53"/>
        <v>7895343.5325325495</v>
      </c>
      <c r="AO132" s="38">
        <f t="shared" si="72"/>
        <v>321357.97794947785</v>
      </c>
      <c r="AP132" s="38">
        <f t="shared" si="78"/>
        <v>3289194.7760603307</v>
      </c>
      <c r="AQ132" s="38">
        <f t="shared" si="77"/>
        <v>427089.22988213081</v>
      </c>
      <c r="AS132" s="2">
        <f t="shared" si="73"/>
        <v>373348.56086191692</v>
      </c>
      <c r="AT132" s="2">
        <f t="shared" si="74"/>
        <v>93568.341694810864</v>
      </c>
      <c r="AU132" s="2">
        <f t="shared" si="75"/>
        <v>466916.90255672776</v>
      </c>
      <c r="AV132" s="22">
        <f t="shared" si="55"/>
        <v>-39827.67267459695</v>
      </c>
      <c r="AW132" s="22">
        <f t="shared" si="79"/>
        <v>-395460.93378929159</v>
      </c>
      <c r="AX132" s="45" t="str">
        <f t="shared" si="56"/>
        <v/>
      </c>
      <c r="AY132" s="58">
        <f t="shared" si="80"/>
        <v>-7879806.8417422315</v>
      </c>
      <c r="AZ132" s="2">
        <f t="shared" si="57"/>
        <v>-7879806.8417422315</v>
      </c>
    </row>
    <row r="133" spans="1:52" x14ac:dyDescent="0.3">
      <c r="A133" s="2">
        <f t="shared" si="58"/>
        <v>97289.771102680723</v>
      </c>
      <c r="B133">
        <f t="shared" si="59"/>
        <v>35303.541660173316</v>
      </c>
      <c r="C133">
        <f t="shared" si="35"/>
        <v>7648.1235796557448</v>
      </c>
      <c r="D133">
        <f t="shared" si="36"/>
        <v>73426.685672578198</v>
      </c>
      <c r="E133">
        <f t="shared" si="31"/>
        <v>7342668.5672578197</v>
      </c>
      <c r="F133">
        <f t="shared" si="76"/>
        <v>14</v>
      </c>
      <c r="G133">
        <f t="shared" si="37"/>
        <v>1</v>
      </c>
      <c r="H133">
        <f t="shared" si="38"/>
        <v>10664641.300728425</v>
      </c>
      <c r="I133">
        <f t="shared" si="39"/>
        <v>0</v>
      </c>
      <c r="J133">
        <f t="shared" si="60"/>
        <v>74520</v>
      </c>
      <c r="K133">
        <f t="shared" si="40"/>
        <v>0</v>
      </c>
      <c r="L133">
        <f t="shared" si="41"/>
        <v>72923.547211012221</v>
      </c>
      <c r="M133">
        <f t="shared" si="61"/>
        <v>0</v>
      </c>
      <c r="N133">
        <f t="shared" si="42"/>
        <v>0</v>
      </c>
      <c r="O133">
        <f t="shared" si="62"/>
        <v>0</v>
      </c>
      <c r="P133">
        <f t="shared" si="63"/>
        <v>601219.67538467201</v>
      </c>
      <c r="Q133">
        <f t="shared" si="43"/>
        <v>384549.01768777444</v>
      </c>
      <c r="R133">
        <f t="shared" si="44"/>
        <v>0</v>
      </c>
      <c r="S133">
        <f t="shared" si="45"/>
        <v>384549.01768777444</v>
      </c>
      <c r="T133">
        <f t="shared" si="46"/>
        <v>0</v>
      </c>
      <c r="U133">
        <f t="shared" si="47"/>
        <v>185851.49032949907</v>
      </c>
      <c r="V133" s="2">
        <f t="shared" si="48"/>
        <v>378476.45127535518</v>
      </c>
      <c r="X133" s="39">
        <f t="shared" si="64"/>
        <v>17</v>
      </c>
      <c r="Y133" s="42">
        <f t="shared" si="65"/>
        <v>34</v>
      </c>
      <c r="Z133" s="40">
        <f t="shared" si="82"/>
        <v>81</v>
      </c>
      <c r="AA133" s="40">
        <f t="shared" si="83"/>
        <v>75</v>
      </c>
      <c r="AB133" s="41">
        <f t="shared" si="68"/>
        <v>2035</v>
      </c>
      <c r="AD133" s="2">
        <f t="shared" si="33"/>
        <v>2604.2274385796477</v>
      </c>
      <c r="AE133" s="2">
        <f t="shared" si="49"/>
        <v>1146.4262898466006</v>
      </c>
      <c r="AF133" s="2">
        <f t="shared" si="69"/>
        <v>2321.9126839930332</v>
      </c>
      <c r="AG133" s="2">
        <f t="shared" si="50"/>
        <v>10633439.6888873</v>
      </c>
      <c r="AH133" s="2">
        <f t="shared" si="51"/>
        <v>0</v>
      </c>
      <c r="AI133" s="2">
        <f t="shared" si="70"/>
        <v>9927855.302351471</v>
      </c>
      <c r="AK133" s="38">
        <f t="shared" si="71"/>
        <v>3615016.4945500372</v>
      </c>
      <c r="AL133" s="26" t="str">
        <f t="shared" si="34"/>
        <v/>
      </c>
      <c r="AM133" s="63">
        <f t="shared" si="81"/>
        <v>5631863.3433181532</v>
      </c>
      <c r="AN133" s="38">
        <f t="shared" si="53"/>
        <v>8125767.7962579196</v>
      </c>
      <c r="AO133" s="38">
        <f t="shared" si="72"/>
        <v>337911.80059908918</v>
      </c>
      <c r="AP133" s="38">
        <f t="shared" si="78"/>
        <v>3350347.9069572892</v>
      </c>
      <c r="AQ133" s="38">
        <f t="shared" si="77"/>
        <v>446086.13920829393</v>
      </c>
      <c r="AS133" s="2">
        <f t="shared" si="73"/>
        <v>384549.01768777444</v>
      </c>
      <c r="AT133" s="2">
        <f t="shared" si="74"/>
        <v>94800.391945655196</v>
      </c>
      <c r="AU133" s="2">
        <f t="shared" si="75"/>
        <v>479349.4096334296</v>
      </c>
      <c r="AV133" s="22">
        <f t="shared" si="55"/>
        <v>-33263.270425135677</v>
      </c>
      <c r="AW133" s="22">
        <f t="shared" si="79"/>
        <v>-406478.61268439819</v>
      </c>
      <c r="AX133" s="45" t="str">
        <f t="shared" si="56"/>
        <v/>
      </c>
      <c r="AY133" s="58">
        <f t="shared" si="80"/>
        <v>-8759073.8649311643</v>
      </c>
      <c r="AZ133" s="2">
        <f t="shared" si="57"/>
        <v>-8759073.8649311643</v>
      </c>
    </row>
    <row r="134" spans="1:52" x14ac:dyDescent="0.3">
      <c r="A134" s="2">
        <f t="shared" si="58"/>
        <v>100208.46423576116</v>
      </c>
      <c r="B134">
        <f t="shared" si="59"/>
        <v>36362.647909978514</v>
      </c>
      <c r="C134">
        <f t="shared" si="35"/>
        <v>7877.5672870454182</v>
      </c>
      <c r="D134">
        <f t="shared" si="36"/>
        <v>75629.486242755549</v>
      </c>
      <c r="E134">
        <f t="shared" si="31"/>
        <v>7562948.6242755549</v>
      </c>
      <c r="F134">
        <f t="shared" si="76"/>
        <v>15</v>
      </c>
      <c r="G134">
        <f t="shared" si="37"/>
        <v>1</v>
      </c>
      <c r="H134">
        <f t="shared" si="38"/>
        <v>11304519.778772131</v>
      </c>
      <c r="I134">
        <f t="shared" si="39"/>
        <v>0</v>
      </c>
      <c r="J134">
        <f t="shared" si="60"/>
        <v>66240</v>
      </c>
      <c r="K134">
        <f t="shared" si="40"/>
        <v>0</v>
      </c>
      <c r="L134">
        <f t="shared" si="41"/>
        <v>75111.253627342594</v>
      </c>
      <c r="M134">
        <f t="shared" si="61"/>
        <v>0</v>
      </c>
      <c r="N134">
        <f t="shared" si="42"/>
        <v>0</v>
      </c>
      <c r="O134">
        <f t="shared" si="62"/>
        <v>0</v>
      </c>
      <c r="P134">
        <f t="shared" si="63"/>
        <v>619256.26564621215</v>
      </c>
      <c r="Q134">
        <f t="shared" si="43"/>
        <v>396085.48821840767</v>
      </c>
      <c r="R134">
        <f t="shared" si="44"/>
        <v>0</v>
      </c>
      <c r="S134">
        <f t="shared" si="45"/>
        <v>396085.48821840767</v>
      </c>
      <c r="T134">
        <f t="shared" si="46"/>
        <v>0</v>
      </c>
      <c r="U134">
        <f t="shared" si="47"/>
        <v>195138.78553068379</v>
      </c>
      <c r="V134" s="2">
        <f t="shared" si="48"/>
        <v>389892.68499102251</v>
      </c>
      <c r="X134" s="39">
        <f t="shared" si="64"/>
        <v>18</v>
      </c>
      <c r="Y134" s="42">
        <f t="shared" si="65"/>
        <v>35</v>
      </c>
      <c r="Z134" s="40">
        <f t="shared" si="82"/>
        <v>82</v>
      </c>
      <c r="AA134" s="40">
        <f t="shared" si="83"/>
        <v>76</v>
      </c>
      <c r="AB134" s="41">
        <f t="shared" si="68"/>
        <v>2036</v>
      </c>
      <c r="AD134" s="2">
        <f t="shared" si="33"/>
        <v>2655.7911418635249</v>
      </c>
      <c r="AE134" s="2">
        <f t="shared" si="49"/>
        <v>1169.1255303855633</v>
      </c>
      <c r="AF134" s="2">
        <f t="shared" si="69"/>
        <v>2367.886555136095</v>
      </c>
      <c r="AG134" s="2">
        <f t="shared" si="50"/>
        <v>11271446.070220539</v>
      </c>
      <c r="AH134" s="2">
        <f t="shared" si="51"/>
        <v>0</v>
      </c>
      <c r="AI134" s="2">
        <f t="shared" si="70"/>
        <v>10873526.620492559</v>
      </c>
      <c r="AK134" s="38">
        <f t="shared" si="71"/>
        <v>3831917.4842230398</v>
      </c>
      <c r="AL134" s="26" t="str">
        <f t="shared" si="34"/>
        <v/>
      </c>
      <c r="AM134" s="63">
        <f t="shared" si="81"/>
        <v>5913296.5312328413</v>
      </c>
      <c r="AN134" s="38">
        <f t="shared" si="53"/>
        <v>8362732.1859345753</v>
      </c>
      <c r="AO134" s="38">
        <f t="shared" si="72"/>
        <v>354797.79187397048</v>
      </c>
      <c r="AP134" s="38">
        <f t="shared" si="78"/>
        <v>3410415.986909179</v>
      </c>
      <c r="AQ134" s="38">
        <f t="shared" si="77"/>
        <v>465474.07851257117</v>
      </c>
      <c r="AS134" s="2">
        <f t="shared" si="73"/>
        <v>396085.48821840767</v>
      </c>
      <c r="AT134" s="2">
        <f t="shared" si="74"/>
        <v>96069.403704024851</v>
      </c>
      <c r="AU134" s="2">
        <f t="shared" si="75"/>
        <v>492154.89192243252</v>
      </c>
      <c r="AV134" s="22">
        <f t="shared" si="55"/>
        <v>-26680.813409861352</v>
      </c>
      <c r="AW134" s="22">
        <f t="shared" si="79"/>
        <v>-417841.25319381035</v>
      </c>
      <c r="AX134" s="45" t="str">
        <f t="shared" si="56"/>
        <v/>
      </c>
      <c r="AY134" s="58">
        <f t="shared" si="80"/>
        <v>-9702459.5500208456</v>
      </c>
      <c r="AZ134" s="2">
        <f t="shared" si="57"/>
        <v>-9702459.5500208456</v>
      </c>
    </row>
    <row r="135" spans="1:52" x14ac:dyDescent="0.3">
      <c r="A135" s="2">
        <f t="shared" si="58"/>
        <v>103214.71816283399</v>
      </c>
      <c r="B135">
        <f t="shared" si="59"/>
        <v>37453.527347277872</v>
      </c>
      <c r="C135">
        <f t="shared" si="35"/>
        <v>8113.8943056567805</v>
      </c>
      <c r="D135">
        <f t="shared" si="36"/>
        <v>77898.370830038213</v>
      </c>
      <c r="E135">
        <f t="shared" si="31"/>
        <v>7789837.0830038218</v>
      </c>
      <c r="F135">
        <f t="shared" si="76"/>
        <v>16</v>
      </c>
      <c r="G135">
        <f t="shared" si="37"/>
        <v>1</v>
      </c>
      <c r="H135">
        <f t="shared" si="38"/>
        <v>11982790.965498462</v>
      </c>
      <c r="I135">
        <f t="shared" si="39"/>
        <v>0</v>
      </c>
      <c r="J135">
        <f t="shared" si="60"/>
        <v>57960</v>
      </c>
      <c r="K135">
        <f t="shared" si="40"/>
        <v>0</v>
      </c>
      <c r="L135">
        <f t="shared" si="41"/>
        <v>77364.591236162873</v>
      </c>
      <c r="M135">
        <f t="shared" si="61"/>
        <v>0</v>
      </c>
      <c r="N135">
        <f t="shared" si="42"/>
        <v>0</v>
      </c>
      <c r="O135">
        <f t="shared" si="62"/>
        <v>0</v>
      </c>
      <c r="P135">
        <f t="shared" si="63"/>
        <v>637833.9536155985</v>
      </c>
      <c r="Q135">
        <f t="shared" si="43"/>
        <v>407968.05286495993</v>
      </c>
      <c r="R135">
        <f t="shared" si="44"/>
        <v>0</v>
      </c>
      <c r="S135">
        <f t="shared" si="45"/>
        <v>407968.05286495993</v>
      </c>
      <c r="T135">
        <f t="shared" si="46"/>
        <v>0</v>
      </c>
      <c r="U135">
        <f t="shared" si="47"/>
        <v>204608.35130712902</v>
      </c>
      <c r="V135" s="2">
        <f t="shared" si="48"/>
        <v>401652.63213367254</v>
      </c>
      <c r="X135" s="39">
        <f t="shared" si="64"/>
        <v>19</v>
      </c>
      <c r="Y135" s="42">
        <f t="shared" si="65"/>
        <v>36</v>
      </c>
      <c r="Z135" s="40">
        <f t="shared" si="82"/>
        <v>83</v>
      </c>
      <c r="AA135" s="40">
        <f t="shared" si="83"/>
        <v>77</v>
      </c>
      <c r="AB135" s="41">
        <f t="shared" si="68"/>
        <v>2037</v>
      </c>
      <c r="AD135" s="2">
        <f t="shared" si="33"/>
        <v>2708.3758064724225</v>
      </c>
      <c r="AE135" s="2">
        <f t="shared" si="49"/>
        <v>1192.2742158871974</v>
      </c>
      <c r="AF135" s="2">
        <f t="shared" si="69"/>
        <v>2414.7707089277901</v>
      </c>
      <c r="AG135" s="2">
        <f t="shared" si="50"/>
        <v>11947732.834433772</v>
      </c>
      <c r="AH135" s="2">
        <f t="shared" si="51"/>
        <v>0</v>
      </c>
      <c r="AI135" s="2">
        <f t="shared" si="70"/>
        <v>11875938.217722112</v>
      </c>
      <c r="AK135" s="38">
        <f t="shared" si="71"/>
        <v>4061832.5332764224</v>
      </c>
      <c r="AL135" s="26" t="str">
        <f t="shared" si="34"/>
        <v/>
      </c>
      <c r="AM135" s="63">
        <f t="shared" si="81"/>
        <v>6200253.0699129999</v>
      </c>
      <c r="AN135" s="38">
        <f t="shared" si="53"/>
        <v>8606431.042311646</v>
      </c>
      <c r="AO135" s="38">
        <f t="shared" si="72"/>
        <v>372015.18419477995</v>
      </c>
      <c r="AP135" s="38">
        <f t="shared" si="78"/>
        <v>3469176.5687091872</v>
      </c>
      <c r="AQ135" s="38">
        <f t="shared" si="77"/>
        <v>485253.76031750673</v>
      </c>
      <c r="AS135" s="2">
        <f t="shared" si="73"/>
        <v>407968.05286495993</v>
      </c>
      <c r="AT135" s="2">
        <f t="shared" si="74"/>
        <v>97376.485815145599</v>
      </c>
      <c r="AU135" s="2">
        <f t="shared" si="75"/>
        <v>505344.53868010553</v>
      </c>
      <c r="AV135" s="22">
        <f t="shared" si="55"/>
        <v>-20090.778362598794</v>
      </c>
      <c r="AW135" s="22">
        <f t="shared" si="79"/>
        <v>-429559.4899046566</v>
      </c>
      <c r="AX135" s="45" t="str">
        <f t="shared" si="56"/>
        <v/>
      </c>
      <c r="AY135" s="58">
        <f t="shared" si="80"/>
        <v>-10714166.612926753</v>
      </c>
      <c r="AZ135" s="2">
        <f t="shared" si="57"/>
        <v>-10714166.612926753</v>
      </c>
    </row>
    <row r="136" spans="1:52" x14ac:dyDescent="0.3">
      <c r="A136" s="2">
        <f t="shared" si="58"/>
        <v>106311.15970771899</v>
      </c>
      <c r="B136">
        <f t="shared" si="59"/>
        <v>38577.133167696207</v>
      </c>
      <c r="C136">
        <f t="shared" si="35"/>
        <v>8357.3111348264829</v>
      </c>
      <c r="D136">
        <f t="shared" si="36"/>
        <v>80235.321954939354</v>
      </c>
      <c r="E136">
        <f t="shared" si="31"/>
        <v>8023532.1954939356</v>
      </c>
      <c r="F136">
        <f t="shared" si="76"/>
        <v>17</v>
      </c>
      <c r="G136">
        <f t="shared" si="37"/>
        <v>1</v>
      </c>
      <c r="H136">
        <f t="shared" si="38"/>
        <v>12701758.423428366</v>
      </c>
      <c r="I136">
        <f t="shared" si="39"/>
        <v>0</v>
      </c>
      <c r="J136">
        <f t="shared" si="60"/>
        <v>49680</v>
      </c>
      <c r="K136">
        <f t="shared" si="40"/>
        <v>0</v>
      </c>
      <c r="L136">
        <f t="shared" si="41"/>
        <v>79685.528973247754</v>
      </c>
      <c r="M136">
        <f t="shared" si="61"/>
        <v>0</v>
      </c>
      <c r="N136">
        <f t="shared" si="42"/>
        <v>0</v>
      </c>
      <c r="O136">
        <f t="shared" si="62"/>
        <v>0</v>
      </c>
      <c r="P136">
        <f t="shared" si="63"/>
        <v>656968.9722240665</v>
      </c>
      <c r="Q136">
        <f t="shared" si="43"/>
        <v>420207.09445090871</v>
      </c>
      <c r="R136">
        <f t="shared" si="44"/>
        <v>0</v>
      </c>
      <c r="S136">
        <f t="shared" si="45"/>
        <v>420207.09445090871</v>
      </c>
      <c r="T136">
        <f t="shared" si="46"/>
        <v>0</v>
      </c>
      <c r="U136">
        <f t="shared" si="47"/>
        <v>214259.38921870329</v>
      </c>
      <c r="V136" s="2">
        <f t="shared" si="48"/>
        <v>413766.62838914181</v>
      </c>
      <c r="X136" s="39">
        <f t="shared" si="64"/>
        <v>20</v>
      </c>
      <c r="Y136" s="42">
        <f t="shared" si="65"/>
        <v>37</v>
      </c>
      <c r="Z136" s="40">
        <f t="shared" si="82"/>
        <v>84</v>
      </c>
      <c r="AA136" s="40">
        <f t="shared" si="83"/>
        <v>78</v>
      </c>
      <c r="AB136" s="41">
        <f t="shared" si="68"/>
        <v>2038</v>
      </c>
      <c r="AD136" s="2">
        <f t="shared" si="33"/>
        <v>2762.0016474405761</v>
      </c>
      <c r="AE136" s="2">
        <f t="shared" si="49"/>
        <v>1215.8812453617638</v>
      </c>
      <c r="AF136" s="2">
        <f t="shared" si="69"/>
        <v>2462.5831689645597</v>
      </c>
      <c r="AG136" s="2">
        <f t="shared" si="50"/>
        <v>12664596.804499799</v>
      </c>
      <c r="AH136" s="2">
        <f t="shared" si="51"/>
        <v>0</v>
      </c>
      <c r="AI136" s="2">
        <f t="shared" si="70"/>
        <v>12938494.51078544</v>
      </c>
      <c r="AK136" s="38">
        <f t="shared" si="71"/>
        <v>4305542.4852730082</v>
      </c>
      <c r="AL136" s="26" t="str">
        <f t="shared" si="34"/>
        <v/>
      </c>
      <c r="AM136" s="63">
        <f t="shared" si="81"/>
        <v>6492708.7642031293</v>
      </c>
      <c r="AN136" s="38">
        <f t="shared" si="53"/>
        <v>8857064.5084152948</v>
      </c>
      <c r="AO136" s="38">
        <f t="shared" si="72"/>
        <v>389562.52585218777</v>
      </c>
      <c r="AP136" s="38">
        <f t="shared" si="78"/>
        <v>3526388.846597258</v>
      </c>
      <c r="AQ136" s="38">
        <f t="shared" si="77"/>
        <v>505425.25176108675</v>
      </c>
      <c r="AS136" s="2">
        <f t="shared" si="73"/>
        <v>420207.09445090871</v>
      </c>
      <c r="AT136" s="2">
        <f t="shared" si="74"/>
        <v>98722.780389599968</v>
      </c>
      <c r="AU136" s="2">
        <f t="shared" si="75"/>
        <v>518929.87484050868</v>
      </c>
      <c r="AV136" s="22">
        <f t="shared" si="55"/>
        <v>-13504.62307942193</v>
      </c>
      <c r="AW136" s="22">
        <f t="shared" si="79"/>
        <v>-441644.28209930588</v>
      </c>
      <c r="AX136" s="45" t="str">
        <f t="shared" si="56"/>
        <v/>
      </c>
      <c r="AY136" s="58">
        <f t="shared" si="80"/>
        <v>-11798660.891801666</v>
      </c>
      <c r="AZ136" s="2">
        <f t="shared" si="57"/>
        <v>-11798660.891801666</v>
      </c>
    </row>
    <row r="137" spans="1:52" x14ac:dyDescent="0.3">
      <c r="A137" s="2">
        <f t="shared" si="58"/>
        <v>109500.49449895057</v>
      </c>
      <c r="B137">
        <f t="shared" si="59"/>
        <v>39734.44716272709</v>
      </c>
      <c r="C137">
        <f t="shared" si="35"/>
        <v>8608.0304688712786</v>
      </c>
      <c r="D137">
        <f t="shared" si="36"/>
        <v>82642.381613587539</v>
      </c>
      <c r="E137">
        <f t="shared" si="31"/>
        <v>8264238.1613587532</v>
      </c>
      <c r="F137">
        <f t="shared" si="76"/>
        <v>18</v>
      </c>
      <c r="G137">
        <f t="shared" si="37"/>
        <v>1</v>
      </c>
      <c r="H137">
        <f t="shared" si="38"/>
        <v>13463863.92883407</v>
      </c>
      <c r="I137">
        <f t="shared" si="39"/>
        <v>0</v>
      </c>
      <c r="J137">
        <f t="shared" si="60"/>
        <v>41400</v>
      </c>
      <c r="K137">
        <f t="shared" si="40"/>
        <v>0</v>
      </c>
      <c r="L137">
        <f t="shared" si="41"/>
        <v>82076.094842445178</v>
      </c>
      <c r="M137">
        <f t="shared" si="61"/>
        <v>0</v>
      </c>
      <c r="N137">
        <f t="shared" si="42"/>
        <v>0</v>
      </c>
      <c r="O137">
        <f t="shared" si="62"/>
        <v>0</v>
      </c>
      <c r="P137">
        <f t="shared" si="63"/>
        <v>676678.04139078851</v>
      </c>
      <c r="Q137">
        <f t="shared" si="43"/>
        <v>432813.30728443596</v>
      </c>
      <c r="R137">
        <f t="shared" si="44"/>
        <v>0</v>
      </c>
      <c r="S137">
        <f t="shared" si="45"/>
        <v>432813.30728443596</v>
      </c>
      <c r="T137">
        <f t="shared" si="46"/>
        <v>0</v>
      </c>
      <c r="U137">
        <f t="shared" si="47"/>
        <v>212540.69126254832</v>
      </c>
      <c r="V137" s="2">
        <f t="shared" si="48"/>
        <v>426245.31999464607</v>
      </c>
      <c r="X137" s="39">
        <f t="shared" si="64"/>
        <v>21</v>
      </c>
      <c r="Y137" s="42">
        <f t="shared" si="65"/>
        <v>38</v>
      </c>
      <c r="Z137" s="40">
        <f t="shared" si="82"/>
        <v>85</v>
      </c>
      <c r="AA137" s="40">
        <f t="shared" si="83"/>
        <v>79</v>
      </c>
      <c r="AB137" s="41">
        <f t="shared" si="68"/>
        <v>2039</v>
      </c>
      <c r="AD137" s="2">
        <f t="shared" si="33"/>
        <v>2816.6892800598994</v>
      </c>
      <c r="AE137" s="2">
        <f t="shared" si="49"/>
        <v>1239.9556940199268</v>
      </c>
      <c r="AF137" s="2">
        <f t="shared" si="69"/>
        <v>2511.3423157100578</v>
      </c>
      <c r="AG137" s="2">
        <f t="shared" si="50"/>
        <v>13424472.612769788</v>
      </c>
      <c r="AH137" s="2">
        <f t="shared" si="51"/>
        <v>0</v>
      </c>
      <c r="AI137" s="2">
        <f t="shared" si="70"/>
        <v>13714804.181432568</v>
      </c>
      <c r="AK137" s="38">
        <f t="shared" si="71"/>
        <v>4563875.0343893887</v>
      </c>
      <c r="AL137" s="26" t="str">
        <f t="shared" si="34"/>
        <v/>
      </c>
      <c r="AM137" s="63">
        <f t="shared" si="81"/>
        <v>6440627.0079560094</v>
      </c>
      <c r="AN137" s="38">
        <f t="shared" si="53"/>
        <v>9114838.7031978518</v>
      </c>
      <c r="AO137" s="38">
        <f t="shared" si="72"/>
        <v>386437.62047736056</v>
      </c>
      <c r="AP137" s="38">
        <f t="shared" si="78"/>
        <v>3263292.3986256095</v>
      </c>
      <c r="AQ137" s="38">
        <f t="shared" si="77"/>
        <v>504987.91511756618</v>
      </c>
      <c r="AS137" s="2">
        <f t="shared" si="73"/>
        <v>432813.30728443596</v>
      </c>
      <c r="AT137" s="2">
        <f t="shared" si="74"/>
        <v>47609.463801287959</v>
      </c>
      <c r="AU137" s="2">
        <f t="shared" si="75"/>
        <v>480422.77108572389</v>
      </c>
      <c r="AV137" s="22">
        <f t="shared" si="55"/>
        <v>24565.144031842297</v>
      </c>
      <c r="AW137" s="22">
        <f t="shared" si="79"/>
        <v>-401606.92360824527</v>
      </c>
      <c r="AX137" s="45" t="str">
        <f t="shared" si="56"/>
        <v/>
      </c>
      <c r="AY137" s="58">
        <f t="shared" si="80"/>
        <v>-12908187.468918012</v>
      </c>
      <c r="AZ137" s="2">
        <f t="shared" si="57"/>
        <v>-12908187.468918012</v>
      </c>
    </row>
    <row r="138" spans="1:52" s="47" customFormat="1" x14ac:dyDescent="0.3">
      <c r="A138" s="2">
        <f t="shared" si="58"/>
        <v>112785.50933391908</v>
      </c>
      <c r="B138">
        <f t="shared" si="59"/>
        <v>40926.480577608898</v>
      </c>
      <c r="C138">
        <f t="shared" si="35"/>
        <v>8866.2713829374152</v>
      </c>
      <c r="D138">
        <f t="shared" si="36"/>
        <v>85121.653061995152</v>
      </c>
      <c r="E138">
        <f t="shared" si="31"/>
        <v>8512165.3061995152</v>
      </c>
      <c r="F138">
        <f t="shared" si="76"/>
        <v>19</v>
      </c>
      <c r="G138">
        <f t="shared" si="37"/>
        <v>1</v>
      </c>
      <c r="H138">
        <f t="shared" si="38"/>
        <v>14271695.764564114</v>
      </c>
      <c r="I138">
        <f t="shared" si="39"/>
        <v>0</v>
      </c>
      <c r="J138">
        <f t="shared" si="60"/>
        <v>33120</v>
      </c>
      <c r="K138" s="47">
        <f t="shared" si="40"/>
        <v>0</v>
      </c>
      <c r="L138" s="47">
        <f t="shared" si="41"/>
        <v>84538.377687718545</v>
      </c>
      <c r="M138" s="47">
        <f t="shared" si="61"/>
        <v>0</v>
      </c>
      <c r="N138" s="47">
        <f t="shared" si="42"/>
        <v>0</v>
      </c>
      <c r="O138" s="47">
        <f t="shared" si="62"/>
        <v>0</v>
      </c>
      <c r="P138" s="47">
        <f t="shared" si="63"/>
        <v>696978.38263251213</v>
      </c>
      <c r="Q138" s="47">
        <f t="shared" si="43"/>
        <v>445797.70650296909</v>
      </c>
      <c r="R138" s="47">
        <f t="shared" si="44"/>
        <v>0</v>
      </c>
      <c r="S138" s="47">
        <f t="shared" si="45"/>
        <v>445797.70650296909</v>
      </c>
      <c r="T138" s="47">
        <f t="shared" si="46"/>
        <v>0</v>
      </c>
      <c r="U138" s="47">
        <f t="shared" si="47"/>
        <v>212040.10425922938</v>
      </c>
      <c r="V138" s="48">
        <f t="shared" si="48"/>
        <v>439099.67306484136</v>
      </c>
      <c r="X138" s="49">
        <f t="shared" si="64"/>
        <v>22</v>
      </c>
      <c r="Y138" s="50">
        <f t="shared" si="65"/>
        <v>39</v>
      </c>
      <c r="Z138" s="51">
        <f t="shared" si="82"/>
        <v>86</v>
      </c>
      <c r="AA138" s="51">
        <f t="shared" si="83"/>
        <v>80</v>
      </c>
      <c r="AB138" s="47">
        <f t="shared" si="68"/>
        <v>2040</v>
      </c>
      <c r="AD138" s="48">
        <f t="shared" si="33"/>
        <v>2872.4597278050855</v>
      </c>
      <c r="AE138" s="48">
        <f t="shared" si="49"/>
        <v>1264.5068167615213</v>
      </c>
      <c r="AF138" s="48">
        <f t="shared" si="69"/>
        <v>2561.066893561117</v>
      </c>
      <c r="AG138" s="48">
        <f t="shared" si="50"/>
        <v>14229940.969535977</v>
      </c>
      <c r="AH138" s="48">
        <f t="shared" si="51"/>
        <v>0</v>
      </c>
      <c r="AI138" s="48">
        <f t="shared" si="70"/>
        <v>14537692.432318522</v>
      </c>
      <c r="AK138" s="52">
        <f t="shared" si="71"/>
        <v>4837707.5364527525</v>
      </c>
      <c r="AL138" s="26" t="str">
        <f t="shared" si="34"/>
        <v/>
      </c>
      <c r="AM138" s="63">
        <f t="shared" si="81"/>
        <v>6425457.7048251312</v>
      </c>
      <c r="AN138" s="38">
        <f t="shared" si="53"/>
        <v>9379965.9003901184</v>
      </c>
      <c r="AO138" s="52">
        <f t="shared" si="72"/>
        <v>385527.46228950785</v>
      </c>
      <c r="AP138" s="38">
        <f t="shared" si="78"/>
        <v>2628995.8487683749</v>
      </c>
      <c r="AQ138" s="38">
        <f t="shared" si="77"/>
        <v>506830.34412464942</v>
      </c>
      <c r="AS138" s="2">
        <f t="shared" si="73"/>
        <v>445797.70650296909</v>
      </c>
      <c r="AT138" s="48">
        <f t="shared" si="74"/>
        <v>49037.747715326601</v>
      </c>
      <c r="AU138" s="48">
        <f t="shared" si="75"/>
        <v>494835.45421829569</v>
      </c>
      <c r="AV138" s="53">
        <f t="shared" si="55"/>
        <v>11994.889906353725</v>
      </c>
      <c r="AW138" s="53">
        <f t="shared" si="79"/>
        <v>-414459.05296076299</v>
      </c>
      <c r="AX138" s="54" t="str">
        <f t="shared" si="56"/>
        <v/>
      </c>
      <c r="AY138" s="62">
        <f t="shared" si="80"/>
        <v>-14097137.770013856</v>
      </c>
      <c r="AZ138" s="48">
        <f t="shared" si="57"/>
        <v>-14097137.770013856</v>
      </c>
    </row>
    <row r="139" spans="1:52" s="47" customFormat="1" x14ac:dyDescent="0.3">
      <c r="A139" s="2">
        <f t="shared" si="58"/>
        <v>116169.07461393667</v>
      </c>
      <c r="B139">
        <f t="shared" si="59"/>
        <v>42154.274994937172</v>
      </c>
      <c r="C139">
        <f t="shared" si="35"/>
        <v>9132.259524425539</v>
      </c>
      <c r="D139">
        <f t="shared" si="36"/>
        <v>87675.302653855018</v>
      </c>
      <c r="E139">
        <f t="shared" si="31"/>
        <v>8767530.2653855011</v>
      </c>
      <c r="F139">
        <f t="shared" si="76"/>
        <v>20</v>
      </c>
      <c r="G139">
        <f t="shared" si="37"/>
        <v>1</v>
      </c>
      <c r="H139">
        <f t="shared" si="38"/>
        <v>15127997.510437964</v>
      </c>
      <c r="I139">
        <f t="shared" si="39"/>
        <v>0</v>
      </c>
      <c r="J139">
        <f t="shared" si="60"/>
        <v>24840</v>
      </c>
      <c r="K139" s="47">
        <f t="shared" si="40"/>
        <v>0</v>
      </c>
      <c r="L139" s="47">
        <f t="shared" si="41"/>
        <v>87074.529018350091</v>
      </c>
      <c r="M139" s="47">
        <f t="shared" si="61"/>
        <v>0</v>
      </c>
      <c r="N139" s="47">
        <f t="shared" si="42"/>
        <v>0</v>
      </c>
      <c r="O139" s="47">
        <f t="shared" si="62"/>
        <v>0</v>
      </c>
      <c r="P139" s="47">
        <f t="shared" si="63"/>
        <v>717887.73411148752</v>
      </c>
      <c r="Q139" s="47">
        <f t="shared" si="43"/>
        <v>459171.63769805816</v>
      </c>
      <c r="R139" s="47">
        <f t="shared" si="44"/>
        <v>0</v>
      </c>
      <c r="S139" s="47">
        <f t="shared" si="45"/>
        <v>459171.63769805816</v>
      </c>
      <c r="T139" s="47">
        <f t="shared" si="46"/>
        <v>0</v>
      </c>
      <c r="U139" s="47">
        <f t="shared" si="47"/>
        <v>211085.36176707779</v>
      </c>
      <c r="V139" s="48">
        <f t="shared" si="48"/>
        <v>452340.98319785553</v>
      </c>
      <c r="X139" s="49">
        <f t="shared" si="64"/>
        <v>23</v>
      </c>
      <c r="Y139" s="50">
        <f t="shared" si="65"/>
        <v>40</v>
      </c>
      <c r="Z139" s="51">
        <f t="shared" si="82"/>
        <v>87</v>
      </c>
      <c r="AA139" s="51">
        <f t="shared" si="83"/>
        <v>81</v>
      </c>
      <c r="AB139" s="47">
        <f t="shared" si="68"/>
        <v>2041</v>
      </c>
      <c r="AD139" s="48">
        <f t="shared" si="33"/>
        <v>2929.3344304156262</v>
      </c>
      <c r="AE139" s="48">
        <f t="shared" si="49"/>
        <v>1289.5440517333993</v>
      </c>
      <c r="AF139" s="48">
        <f t="shared" si="69"/>
        <v>2611.7760180536275</v>
      </c>
      <c r="AG139" s="48">
        <f t="shared" si="50"/>
        <v>15083737.427708136</v>
      </c>
      <c r="AH139" s="48">
        <f t="shared" si="51"/>
        <v>0</v>
      </c>
      <c r="AI139" s="48">
        <f t="shared" si="70"/>
        <v>15409953.978257634</v>
      </c>
      <c r="AK139" s="52">
        <f t="shared" si="71"/>
        <v>5127969.9886399182</v>
      </c>
      <c r="AL139" s="26" t="str">
        <f t="shared" si="34"/>
        <v/>
      </c>
      <c r="AM139" s="63">
        <f t="shared" si="81"/>
        <v>6396526.1141538713</v>
      </c>
      <c r="AN139" s="38">
        <f t="shared" si="53"/>
        <v>9652664.7127128821</v>
      </c>
      <c r="AO139" s="52">
        <f t="shared" si="72"/>
        <v>383791.56684923224</v>
      </c>
      <c r="AP139" s="38">
        <f t="shared" si="78"/>
        <v>2322048.8438136242</v>
      </c>
      <c r="AQ139" s="38">
        <f t="shared" si="77"/>
        <v>507913.69584660127</v>
      </c>
      <c r="AS139" s="2">
        <f t="shared" si="73"/>
        <v>459171.63769805816</v>
      </c>
      <c r="AT139" s="48">
        <f t="shared" si="74"/>
        <v>50508.880146786396</v>
      </c>
      <c r="AU139" s="48">
        <f t="shared" si="75"/>
        <v>509680.51784484455</v>
      </c>
      <c r="AV139" s="53">
        <f t="shared" si="55"/>
        <v>-1766.8219982432784</v>
      </c>
      <c r="AW139" s="53">
        <f t="shared" si="79"/>
        <v>-427712.66384241276</v>
      </c>
      <c r="AX139" s="54" t="str">
        <f t="shared" si="56"/>
        <v/>
      </c>
      <c r="AY139" s="62">
        <f t="shared" si="80"/>
        <v>-15370678.700057102</v>
      </c>
      <c r="AZ139" s="48">
        <f t="shared" si="57"/>
        <v>-15370678.700057102</v>
      </c>
    </row>
    <row r="140" spans="1:52" s="47" customFormat="1" x14ac:dyDescent="0.3">
      <c r="A140" s="2">
        <f t="shared" si="58"/>
        <v>119654.14685235478</v>
      </c>
      <c r="B140">
        <f t="shared" si="59"/>
        <v>43418.903244785288</v>
      </c>
      <c r="C140">
        <f t="shared" si="35"/>
        <v>9406.227310158305</v>
      </c>
      <c r="D140">
        <f t="shared" si="36"/>
        <v>90305.561733470677</v>
      </c>
      <c r="E140">
        <f t="shared" si="31"/>
        <v>9030556.1733470671</v>
      </c>
      <c r="F140">
        <f t="shared" si="76"/>
        <v>21</v>
      </c>
      <c r="G140">
        <f t="shared" si="37"/>
        <v>1</v>
      </c>
      <c r="H140">
        <f t="shared" si="38"/>
        <v>16035677.36106424</v>
      </c>
      <c r="I140">
        <f t="shared" si="39"/>
        <v>0</v>
      </c>
      <c r="J140">
        <f t="shared" si="60"/>
        <v>16560</v>
      </c>
      <c r="K140" s="47">
        <f t="shared" si="40"/>
        <v>0</v>
      </c>
      <c r="L140" s="47">
        <f t="shared" si="41"/>
        <v>89686.764888900594</v>
      </c>
      <c r="M140" s="47">
        <f t="shared" si="61"/>
        <v>0</v>
      </c>
      <c r="N140" s="47">
        <f t="shared" si="42"/>
        <v>0</v>
      </c>
      <c r="O140" s="47">
        <f t="shared" si="62"/>
        <v>0</v>
      </c>
      <c r="P140" s="47">
        <f t="shared" si="63"/>
        <v>739424.36613483215</v>
      </c>
      <c r="Q140" s="47">
        <f t="shared" si="43"/>
        <v>472946.78682899999</v>
      </c>
      <c r="R140" s="47">
        <f t="shared" si="44"/>
        <v>0</v>
      </c>
      <c r="S140" s="47">
        <f t="shared" si="45"/>
        <v>472946.78682899999</v>
      </c>
      <c r="T140" s="47">
        <f t="shared" si="46"/>
        <v>0</v>
      </c>
      <c r="U140" s="47">
        <f t="shared" si="47"/>
        <v>209635.96556630259</v>
      </c>
      <c r="V140" s="48">
        <f t="shared" si="48"/>
        <v>465980.88536969334</v>
      </c>
      <c r="X140" s="49">
        <f t="shared" si="64"/>
        <v>24</v>
      </c>
      <c r="Y140" s="50">
        <f t="shared" si="65"/>
        <v>41</v>
      </c>
      <c r="Z140" s="51">
        <f t="shared" si="82"/>
        <v>88</v>
      </c>
      <c r="AA140" s="51">
        <f t="shared" si="83"/>
        <v>82</v>
      </c>
      <c r="AB140" s="47">
        <f t="shared" si="68"/>
        <v>2042</v>
      </c>
      <c r="AD140" s="48">
        <f t="shared" si="33"/>
        <v>2987.3352521378561</v>
      </c>
      <c r="AE140" s="48">
        <f t="shared" si="49"/>
        <v>1315.0770239577207</v>
      </c>
      <c r="AF140" s="48">
        <f t="shared" si="69"/>
        <v>2663.4891832110889</v>
      </c>
      <c r="AG140" s="48">
        <f t="shared" si="50"/>
        <v>15988761.673370624</v>
      </c>
      <c r="AH140" s="48">
        <f t="shared" si="51"/>
        <v>0</v>
      </c>
      <c r="AI140" s="48">
        <f t="shared" si="70"/>
        <v>16334551.216953093</v>
      </c>
      <c r="AK140" s="52">
        <f t="shared" si="71"/>
        <v>5435648.1879583132</v>
      </c>
      <c r="AL140" s="26" t="str">
        <f t="shared" si="34"/>
        <v/>
      </c>
      <c r="AM140" s="63">
        <f t="shared" si="81"/>
        <v>6352605.0171606839</v>
      </c>
      <c r="AN140" s="38">
        <f t="shared" si="53"/>
        <v>9933160.2816082779</v>
      </c>
      <c r="AO140" s="52">
        <f t="shared" si="72"/>
        <v>381156.30102964101</v>
      </c>
      <c r="AP140" s="38">
        <f t="shared" si="78"/>
        <v>1990908.3437743383</v>
      </c>
      <c r="AQ140" s="38">
        <f t="shared" si="77"/>
        <v>508166.02178610623</v>
      </c>
      <c r="AS140" s="2">
        <f t="shared" si="73"/>
        <v>472946.78682899999</v>
      </c>
      <c r="AT140" s="48">
        <f t="shared" si="74"/>
        <v>52024.146551190002</v>
      </c>
      <c r="AU140" s="48">
        <f t="shared" si="75"/>
        <v>524970.93338019005</v>
      </c>
      <c r="AV140" s="53">
        <f t="shared" si="55"/>
        <v>-16804.911594083824</v>
      </c>
      <c r="AW140" s="53">
        <f t="shared" si="79"/>
        <v>-441380.1158685101</v>
      </c>
      <c r="AX140" s="54" t="str">
        <f t="shared" si="56"/>
        <v/>
      </c>
      <c r="AY140" s="62">
        <f t="shared" si="80"/>
        <v>-16734299.537929039</v>
      </c>
      <c r="AZ140" s="48">
        <f t="shared" si="57"/>
        <v>-16734299.537929039</v>
      </c>
    </row>
    <row r="141" spans="1:52" s="47" customFormat="1" x14ac:dyDescent="0.3">
      <c r="A141" s="2">
        <f t="shared" si="58"/>
        <v>123243.77125792539</v>
      </c>
      <c r="B141">
        <f t="shared" si="59"/>
        <v>44721.470342128843</v>
      </c>
      <c r="C141">
        <f t="shared" si="35"/>
        <v>9688.4141294630535</v>
      </c>
      <c r="D141">
        <f t="shared" si="36"/>
        <v>93014.728585474775</v>
      </c>
      <c r="E141">
        <f t="shared" si="31"/>
        <v>9301472.8585474771</v>
      </c>
      <c r="F141">
        <f t="shared" si="76"/>
        <v>22</v>
      </c>
      <c r="G141">
        <f t="shared" si="37"/>
        <v>1</v>
      </c>
      <c r="H141">
        <f t="shared" si="38"/>
        <v>16997818.002728097</v>
      </c>
      <c r="I141">
        <f t="shared" si="39"/>
        <v>0</v>
      </c>
      <c r="J141">
        <f t="shared" si="60"/>
        <v>8280.0000000000291</v>
      </c>
      <c r="K141" s="47">
        <f t="shared" si="40"/>
        <v>0</v>
      </c>
      <c r="L141" s="47">
        <f t="shared" si="41"/>
        <v>92377.367835567609</v>
      </c>
      <c r="M141" s="47">
        <f t="shared" si="61"/>
        <v>0</v>
      </c>
      <c r="N141" s="47">
        <f t="shared" si="42"/>
        <v>0</v>
      </c>
      <c r="O141" s="47">
        <f t="shared" si="62"/>
        <v>0</v>
      </c>
      <c r="P141" s="47">
        <f t="shared" si="63"/>
        <v>761607.09711887711</v>
      </c>
      <c r="Q141" s="47">
        <f t="shared" si="43"/>
        <v>487135.19043386995</v>
      </c>
      <c r="R141" s="47">
        <f t="shared" si="44"/>
        <v>0</v>
      </c>
      <c r="S141" s="47">
        <f t="shared" si="45"/>
        <v>487135.19043386995</v>
      </c>
      <c r="T141" s="47">
        <f t="shared" si="46"/>
        <v>0</v>
      </c>
      <c r="U141" s="47">
        <f t="shared" si="47"/>
        <v>207648.57967661996</v>
      </c>
      <c r="V141" s="48">
        <f t="shared" si="48"/>
        <v>480031.364125669</v>
      </c>
      <c r="X141" s="49">
        <f t="shared" si="64"/>
        <v>25</v>
      </c>
      <c r="Y141" s="50">
        <f t="shared" si="65"/>
        <v>42</v>
      </c>
      <c r="Z141" s="51">
        <f t="shared" si="82"/>
        <v>89</v>
      </c>
      <c r="AA141" s="51">
        <f t="shared" si="83"/>
        <v>83</v>
      </c>
      <c r="AB141" s="47">
        <f t="shared" si="68"/>
        <v>2043</v>
      </c>
      <c r="AD141" s="48">
        <f t="shared" si="33"/>
        <v>3046.4844901301853</v>
      </c>
      <c r="AE141" s="48">
        <f t="shared" si="49"/>
        <v>1341.1155490320834</v>
      </c>
      <c r="AF141" s="48">
        <f t="shared" si="69"/>
        <v>2716.2262690386688</v>
      </c>
      <c r="AG141" s="48">
        <f t="shared" si="50"/>
        <v>16948087.373772863</v>
      </c>
      <c r="AH141" s="48">
        <f t="shared" si="51"/>
        <v>0</v>
      </c>
      <c r="AI141" s="48">
        <f t="shared" si="70"/>
        <v>17314624.289970279</v>
      </c>
      <c r="AK141" s="52">
        <f t="shared" si="71"/>
        <v>5761787.0792358126</v>
      </c>
      <c r="AL141" s="26" t="str">
        <f t="shared" si="34"/>
        <v/>
      </c>
      <c r="AM141" s="63">
        <f t="shared" si="81"/>
        <v>6292381.2023218162</v>
      </c>
      <c r="AN141" s="38">
        <f t="shared" si="53"/>
        <v>10221684.472656526</v>
      </c>
      <c r="AO141" s="52">
        <f t="shared" si="72"/>
        <v>377542.87213930895</v>
      </c>
      <c r="AP141" s="38">
        <f t="shared" si="78"/>
        <v>1633932.8844740391</v>
      </c>
      <c r="AQ141" s="38">
        <f t="shared" si="77"/>
        <v>507510.25817984901</v>
      </c>
      <c r="AS141" s="2">
        <f t="shared" si="73"/>
        <v>487135.19043386995</v>
      </c>
      <c r="AT141" s="48">
        <f t="shared" si="74"/>
        <v>53584.870947725693</v>
      </c>
      <c r="AU141" s="48">
        <f t="shared" si="75"/>
        <v>540720.06138159567</v>
      </c>
      <c r="AV141" s="53">
        <f t="shared" si="55"/>
        <v>-33209.803201746661</v>
      </c>
      <c r="AW141" s="53">
        <f t="shared" si="79"/>
        <v>-455474.14568318438</v>
      </c>
      <c r="AX141" s="54" t="str">
        <f t="shared" si="56"/>
        <v/>
      </c>
      <c r="AY141" s="62">
        <f t="shared" si="80"/>
        <v>-18193831.655887965</v>
      </c>
      <c r="AZ141" s="48">
        <f t="shared" si="57"/>
        <v>-18193831.655887965</v>
      </c>
    </row>
    <row r="142" spans="1:52" s="47" customFormat="1" x14ac:dyDescent="0.3">
      <c r="A142" s="2">
        <f t="shared" si="58"/>
        <v>126941.08439566316</v>
      </c>
      <c r="B142">
        <f t="shared" si="59"/>
        <v>46063.114452392707</v>
      </c>
      <c r="C142">
        <f t="shared" si="35"/>
        <v>9979.0665533469455</v>
      </c>
      <c r="D142">
        <f t="shared" si="36"/>
        <v>95805.170443039024</v>
      </c>
      <c r="E142">
        <f t="shared" si="31"/>
        <v>9580517.0443039015</v>
      </c>
      <c r="F142">
        <f t="shared" si="76"/>
        <v>23</v>
      </c>
      <c r="G142">
        <f t="shared" si="37"/>
        <v>1</v>
      </c>
      <c r="H142">
        <f t="shared" si="38"/>
        <v>18017687.082891785</v>
      </c>
      <c r="I142">
        <f t="shared" si="39"/>
        <v>0</v>
      </c>
      <c r="J142">
        <f t="shared" si="60"/>
        <v>2.9103830456733704E-11</v>
      </c>
      <c r="K142" s="47">
        <f t="shared" si="40"/>
        <v>0</v>
      </c>
      <c r="L142" s="47">
        <f t="shared" si="41"/>
        <v>95148.688870634636</v>
      </c>
      <c r="M142" s="47">
        <f t="shared" si="61"/>
        <v>0</v>
      </c>
      <c r="N142" s="47">
        <f t="shared" si="42"/>
        <v>0</v>
      </c>
      <c r="O142" s="47">
        <f t="shared" si="62"/>
        <v>0</v>
      </c>
      <c r="P142" s="47">
        <f t="shared" si="63"/>
        <v>784455.31003244349</v>
      </c>
      <c r="Q142" s="47">
        <f t="shared" si="43"/>
        <v>501749.24614688609</v>
      </c>
      <c r="R142" s="47">
        <f t="shared" si="44"/>
        <v>0</v>
      </c>
      <c r="S142" s="47">
        <f t="shared" si="45"/>
        <v>501749.24614688609</v>
      </c>
      <c r="T142" s="47">
        <f t="shared" si="46"/>
        <v>0</v>
      </c>
      <c r="U142" s="47">
        <f>IF(AB142&gt;=2025,0.05*(AM142*0.66),0)</f>
        <v>205076.84764967219</v>
      </c>
      <c r="V142" s="48">
        <f t="shared" si="48"/>
        <v>494504.76407778275</v>
      </c>
      <c r="X142" s="49">
        <f t="shared" si="64"/>
        <v>26</v>
      </c>
      <c r="Y142" s="50">
        <f t="shared" si="65"/>
        <v>43</v>
      </c>
      <c r="Z142" s="51">
        <f t="shared" si="82"/>
        <v>90</v>
      </c>
      <c r="AA142" s="51">
        <f t="shared" si="83"/>
        <v>84</v>
      </c>
      <c r="AB142" s="47">
        <f t="shared" si="68"/>
        <v>2044</v>
      </c>
      <c r="AD142" s="48">
        <f t="shared" si="33"/>
        <v>3106.8048830347625</v>
      </c>
      <c r="AE142" s="48">
        <f t="shared" si="49"/>
        <v>1367.6696369029187</v>
      </c>
      <c r="AF142" s="48">
        <f t="shared" si="69"/>
        <v>2770.0075491656344</v>
      </c>
      <c r="AG142" s="48">
        <f t="shared" si="50"/>
        <v>17964972.616199236</v>
      </c>
      <c r="AH142" s="48">
        <f t="shared" si="51"/>
        <v>0</v>
      </c>
      <c r="AI142" s="48">
        <f t="shared" si="70"/>
        <v>18353501.747368496</v>
      </c>
      <c r="AK142" s="52">
        <f t="shared" si="71"/>
        <v>6107494.3039899617</v>
      </c>
      <c r="AL142" s="26" t="str">
        <f t="shared" si="34"/>
        <v/>
      </c>
      <c r="AM142" s="63">
        <f t="shared" si="81"/>
        <v>6214449.9287779443</v>
      </c>
      <c r="AN142" s="38">
        <f t="shared" si="53"/>
        <v>10518476.076848503</v>
      </c>
      <c r="AO142" s="52">
        <f t="shared" si="72"/>
        <v>372866.99572667666</v>
      </c>
      <c r="AP142" s="38">
        <f t="shared" si="78"/>
        <v>1249376.4904777976</v>
      </c>
      <c r="AQ142" s="38">
        <f t="shared" si="77"/>
        <v>505863.89500830916</v>
      </c>
      <c r="AS142" s="2">
        <f t="shared" si="73"/>
        <v>501749.24614688609</v>
      </c>
      <c r="AT142" s="48">
        <f t="shared" si="74"/>
        <v>55192.417076157471</v>
      </c>
      <c r="AU142" s="48">
        <f t="shared" si="75"/>
        <v>556941.66322304355</v>
      </c>
      <c r="AV142" s="53">
        <f t="shared" si="55"/>
        <v>-51077.768214734388</v>
      </c>
      <c r="AW142" s="53">
        <f t="shared" si="79"/>
        <v>-470007.87839380378</v>
      </c>
      <c r="AX142" s="54" t="str">
        <f t="shared" si="56"/>
        <v/>
      </c>
      <c r="AY142" s="62">
        <f t="shared" si="80"/>
        <v>-19755469.433635049</v>
      </c>
      <c r="AZ142" s="48">
        <f t="shared" si="57"/>
        <v>-19755469.433635049</v>
      </c>
    </row>
    <row r="143" spans="1:52" s="47" customFormat="1" x14ac:dyDescent="0.3">
      <c r="A143" s="2">
        <f t="shared" si="58"/>
        <v>130749.31692753306</v>
      </c>
      <c r="B143">
        <f t="shared" si="59"/>
        <v>47445.007885964493</v>
      </c>
      <c r="C143">
        <f t="shared" si="35"/>
        <v>10278.438549947354</v>
      </c>
      <c r="D143">
        <f t="shared" si="36"/>
        <v>98679.325556330194</v>
      </c>
      <c r="E143">
        <f t="shared" si="31"/>
        <v>9867932.5556330197</v>
      </c>
      <c r="F143">
        <f t="shared" si="76"/>
        <v>24</v>
      </c>
      <c r="G143">
        <f t="shared" si="37"/>
        <v>1</v>
      </c>
      <c r="H143">
        <f t="shared" si="38"/>
        <v>19098748.307865296</v>
      </c>
      <c r="I143">
        <f t="shared" si="39"/>
        <v>0</v>
      </c>
      <c r="J143">
        <f t="shared" si="60"/>
        <v>0</v>
      </c>
      <c r="K143" s="47">
        <f t="shared" si="40"/>
        <v>0</v>
      </c>
      <c r="L143" s="47">
        <f t="shared" si="41"/>
        <v>98003.149536753699</v>
      </c>
      <c r="M143" s="47">
        <f t="shared" si="61"/>
        <v>0</v>
      </c>
      <c r="N143" s="47">
        <f t="shared" si="42"/>
        <v>0</v>
      </c>
      <c r="O143" s="47">
        <f t="shared" si="62"/>
        <v>0</v>
      </c>
      <c r="P143" s="47">
        <f t="shared" si="63"/>
        <v>807988.96933341678</v>
      </c>
      <c r="Q143" s="47">
        <f t="shared" si="43"/>
        <v>503138.62442147196</v>
      </c>
      <c r="R143" s="47">
        <f t="shared" si="44"/>
        <v>1</v>
      </c>
      <c r="S143" s="47">
        <f t="shared" si="45"/>
        <v>0</v>
      </c>
      <c r="T143" s="47">
        <f t="shared" si="46"/>
        <v>503138.62442147196</v>
      </c>
      <c r="U143" s="47">
        <f t="shared" si="47"/>
        <v>201871.19852165683</v>
      </c>
      <c r="V143" s="48">
        <f t="shared" si="48"/>
        <v>509413.80071722111</v>
      </c>
      <c r="X143" s="49">
        <f t="shared" si="64"/>
        <v>27</v>
      </c>
      <c r="Y143" s="50">
        <f t="shared" si="65"/>
        <v>44</v>
      </c>
      <c r="Z143" s="51">
        <f t="shared" si="82"/>
        <v>91</v>
      </c>
      <c r="AA143" s="51">
        <f t="shared" si="83"/>
        <v>85</v>
      </c>
      <c r="AB143" s="47">
        <f t="shared" si="68"/>
        <v>2045</v>
      </c>
      <c r="AD143" s="48">
        <f t="shared" si="33"/>
        <v>3168.3196197188508</v>
      </c>
      <c r="AE143" s="48">
        <f t="shared" si="49"/>
        <v>1394.7494957135964</v>
      </c>
      <c r="AF143" s="48">
        <f t="shared" si="69"/>
        <v>2824.8536986391136</v>
      </c>
      <c r="AG143" s="48">
        <f t="shared" si="50"/>
        <v>19042870.973171193</v>
      </c>
      <c r="AH143" s="48">
        <f t="shared" si="51"/>
        <v>0</v>
      </c>
      <c r="AI143" s="48">
        <f t="shared" si="70"/>
        <v>19454711.852210607</v>
      </c>
      <c r="AK143" s="52">
        <f t="shared" si="71"/>
        <v>6473943.9622293599</v>
      </c>
      <c r="AL143" s="26" t="str">
        <f t="shared" si="34"/>
        <v/>
      </c>
      <c r="AM143" s="63">
        <f t="shared" si="81"/>
        <v>6117309.0461108126</v>
      </c>
      <c r="AN143" s="38">
        <f t="shared" si="53"/>
        <v>10815501.01788971</v>
      </c>
      <c r="AO143" s="52">
        <f t="shared" si="72"/>
        <v>367038.54276664875</v>
      </c>
      <c r="AP143" s="38">
        <f t="shared" si="78"/>
        <v>836885.15812665597</v>
      </c>
      <c r="AQ143" s="38">
        <f t="shared" si="77"/>
        <v>503138.62442147196</v>
      </c>
      <c r="AS143" s="2">
        <f t="shared" si="73"/>
        <v>516801.72353129269</v>
      </c>
      <c r="AT143" s="48">
        <f t="shared" si="74"/>
        <v>55345.24868636192</v>
      </c>
      <c r="AU143" s="48">
        <f t="shared" si="75"/>
        <v>572146.97221765458</v>
      </c>
      <c r="AV143" s="53">
        <f t="shared" si="55"/>
        <v>-69008.347796182614</v>
      </c>
      <c r="AW143" s="53">
        <f t="shared" si="79"/>
        <v>-483491.89844879584</v>
      </c>
      <c r="AX143" s="54" t="str">
        <f t="shared" si="56"/>
        <v/>
      </c>
      <c r="AY143" s="62">
        <f t="shared" si="80"/>
        <v>-21424289.498101946</v>
      </c>
      <c r="AZ143" s="48">
        <f t="shared" si="57"/>
        <v>-21424289.498101946</v>
      </c>
    </row>
    <row r="144" spans="1:52" s="47" customFormat="1" x14ac:dyDescent="0.3">
      <c r="A144" s="2">
        <f t="shared" si="58"/>
        <v>134671.79643535905</v>
      </c>
      <c r="B144">
        <f t="shared" si="59"/>
        <v>48868.358122543425</v>
      </c>
      <c r="C144">
        <f t="shared" si="35"/>
        <v>10586.791706445774</v>
      </c>
      <c r="D144">
        <f t="shared" si="36"/>
        <v>101639.7053230201</v>
      </c>
      <c r="E144">
        <f t="shared" si="31"/>
        <v>10163970.532302009</v>
      </c>
      <c r="F144">
        <f t="shared" si="76"/>
        <v>25</v>
      </c>
      <c r="G144">
        <f t="shared" si="37"/>
        <v>1</v>
      </c>
      <c r="H144">
        <f t="shared" si="38"/>
        <v>20244673.20633721</v>
      </c>
      <c r="I144">
        <f t="shared" si="39"/>
        <v>0</v>
      </c>
      <c r="J144">
        <f t="shared" si="60"/>
        <v>0</v>
      </c>
      <c r="K144" s="47">
        <f t="shared" si="40"/>
        <v>0</v>
      </c>
      <c r="L144" s="47">
        <f t="shared" si="41"/>
        <v>100943.24402285628</v>
      </c>
      <c r="M144" s="47">
        <f t="shared" si="61"/>
        <v>0</v>
      </c>
      <c r="N144" s="47">
        <f t="shared" si="42"/>
        <v>0</v>
      </c>
      <c r="O144" s="47">
        <f t="shared" si="62"/>
        <v>0</v>
      </c>
      <c r="P144" s="47">
        <f t="shared" si="63"/>
        <v>832228.63841341936</v>
      </c>
      <c r="Q144" s="47">
        <f t="shared" si="43"/>
        <v>499330.14377774601</v>
      </c>
      <c r="R144" s="47">
        <f t="shared" si="44"/>
        <v>1</v>
      </c>
      <c r="S144" s="47">
        <f t="shared" si="45"/>
        <v>0</v>
      </c>
      <c r="T144" s="47">
        <f t="shared" si="46"/>
        <v>499330.14377774601</v>
      </c>
      <c r="U144" s="47">
        <f t="shared" si="47"/>
        <v>198028.23778414627</v>
      </c>
      <c r="V144" s="48">
        <f t="shared" si="48"/>
        <v>524771.57155144133</v>
      </c>
      <c r="X144" s="49">
        <f t="shared" si="64"/>
        <v>28</v>
      </c>
      <c r="Y144" s="50">
        <f t="shared" si="65"/>
        <v>45</v>
      </c>
      <c r="Z144" s="51">
        <f t="shared" si="82"/>
        <v>92</v>
      </c>
      <c r="AA144" s="51">
        <f t="shared" si="83"/>
        <v>86</v>
      </c>
      <c r="AB144" s="47">
        <f t="shared" si="68"/>
        <v>2046</v>
      </c>
      <c r="AD144" s="48">
        <f t="shared" si="33"/>
        <v>3231.0523481892837</v>
      </c>
      <c r="AE144" s="48">
        <f t="shared" si="49"/>
        <v>1422.3655357287255</v>
      </c>
      <c r="AF144" s="48">
        <f t="shared" si="69"/>
        <v>2880.7858018721681</v>
      </c>
      <c r="AG144" s="48">
        <f t="shared" si="50"/>
        <v>20185443.231561467</v>
      </c>
      <c r="AH144" s="48">
        <f t="shared" si="51"/>
        <v>0</v>
      </c>
      <c r="AI144" s="48">
        <f t="shared" si="70"/>
        <v>20621994.563343246</v>
      </c>
      <c r="AK144" s="52">
        <f t="shared" si="71"/>
        <v>6862380.599963122</v>
      </c>
      <c r="AL144" s="26" t="str">
        <f t="shared" si="34"/>
        <v/>
      </c>
      <c r="AM144" s="63">
        <f t="shared" si="81"/>
        <v>6000855.6904286742</v>
      </c>
      <c r="AN144" s="38">
        <f t="shared" si="53"/>
        <v>11121292.565716468</v>
      </c>
      <c r="AO144" s="52">
        <f t="shared" si="72"/>
        <v>360051.34142572043</v>
      </c>
      <c r="AP144" s="38">
        <f t="shared" si="78"/>
        <v>395195.73676002491</v>
      </c>
      <c r="AQ144" s="38">
        <f t="shared" si="77"/>
        <v>499330.14377774601</v>
      </c>
      <c r="AS144" s="2">
        <f t="shared" si="73"/>
        <v>532305.77523723152</v>
      </c>
      <c r="AT144" s="48">
        <f t="shared" si="74"/>
        <v>54926.315815552058</v>
      </c>
      <c r="AU144" s="48">
        <f t="shared" si="75"/>
        <v>587232.09105278354</v>
      </c>
      <c r="AV144" s="53">
        <f t="shared" si="55"/>
        <v>-87901.947275037528</v>
      </c>
      <c r="AW144" s="53">
        <f t="shared" si="79"/>
        <v>-496821.64682330139</v>
      </c>
      <c r="AX144" s="54" t="str">
        <f t="shared" si="56"/>
        <v/>
      </c>
      <c r="AY144" s="62">
        <f t="shared" si="80"/>
        <v>-23206568.514811367</v>
      </c>
      <c r="AZ144" s="48">
        <f t="shared" si="57"/>
        <v>-23206568.514811367</v>
      </c>
    </row>
    <row r="145" spans="1:52" s="47" customFormat="1" x14ac:dyDescent="0.3">
      <c r="A145" s="2">
        <f t="shared" si="58"/>
        <v>138711.9503284198</v>
      </c>
      <c r="B145">
        <f t="shared" si="59"/>
        <v>50334.408866219725</v>
      </c>
      <c r="C145">
        <f t="shared" si="35"/>
        <v>10904.395457639146</v>
      </c>
      <c r="D145">
        <f t="shared" si="36"/>
        <v>104688.8964827107</v>
      </c>
      <c r="E145">
        <f t="shared" si="31"/>
        <v>10468889.648271069</v>
      </c>
      <c r="F145">
        <f t="shared" si="76"/>
        <v>26</v>
      </c>
      <c r="G145">
        <f t="shared" si="37"/>
        <v>1</v>
      </c>
      <c r="H145">
        <f t="shared" si="38"/>
        <v>21459353.59871744</v>
      </c>
      <c r="I145">
        <f t="shared" si="39"/>
        <v>0</v>
      </c>
      <c r="J145">
        <f t="shared" si="60"/>
        <v>0</v>
      </c>
      <c r="K145" s="47">
        <f t="shared" si="40"/>
        <v>0</v>
      </c>
      <c r="L145" s="47">
        <f t="shared" si="41"/>
        <v>103971.54134354198</v>
      </c>
      <c r="M145" s="47">
        <f t="shared" si="61"/>
        <v>0</v>
      </c>
      <c r="N145" s="47">
        <f t="shared" si="42"/>
        <v>0</v>
      </c>
      <c r="O145" s="47">
        <f t="shared" si="62"/>
        <v>0</v>
      </c>
      <c r="P145" s="47">
        <f t="shared" si="63"/>
        <v>857195.49756582198</v>
      </c>
      <c r="Q145" s="47">
        <f t="shared" si="43"/>
        <v>494380.10299331159</v>
      </c>
      <c r="R145" s="47">
        <f t="shared" si="44"/>
        <v>1</v>
      </c>
      <c r="S145" s="47">
        <f t="shared" si="45"/>
        <v>0</v>
      </c>
      <c r="T145" s="47">
        <f t="shared" si="46"/>
        <v>494380.10299331159</v>
      </c>
      <c r="U145" s="47">
        <f t="shared" si="47"/>
        <v>193514.81770602634</v>
      </c>
      <c r="V145" s="48">
        <f t="shared" si="48"/>
        <v>540591.56757557963</v>
      </c>
      <c r="X145" s="49">
        <f t="shared" si="64"/>
        <v>29</v>
      </c>
      <c r="Y145" s="50">
        <f t="shared" si="65"/>
        <v>46</v>
      </c>
      <c r="Z145" s="51">
        <f t="shared" si="82"/>
        <v>93</v>
      </c>
      <c r="AA145" s="51">
        <f t="shared" si="83"/>
        <v>87</v>
      </c>
      <c r="AB145" s="47">
        <f t="shared" si="68"/>
        <v>2047</v>
      </c>
      <c r="AD145" s="48">
        <f t="shared" si="33"/>
        <v>3295.0271846834321</v>
      </c>
      <c r="AE145" s="48">
        <f t="shared" si="49"/>
        <v>1450.5283733361543</v>
      </c>
      <c r="AF145" s="48">
        <f t="shared" si="69"/>
        <v>2937.8253607492366</v>
      </c>
      <c r="AG145" s="48">
        <f t="shared" si="50"/>
        <v>21396569.825455155</v>
      </c>
      <c r="AH145" s="48">
        <f t="shared" si="51"/>
        <v>0</v>
      </c>
      <c r="AI145" s="48">
        <f t="shared" si="70"/>
        <v>21859314.237143841</v>
      </c>
      <c r="AK145" s="52">
        <f t="shared" si="71"/>
        <v>7274123.4359609094</v>
      </c>
      <c r="AL145" s="26" t="str">
        <f t="shared" si="34"/>
        <v/>
      </c>
      <c r="AM145" s="63">
        <f t="shared" si="81"/>
        <v>5864085.3850311004</v>
      </c>
      <c r="AN145" s="38">
        <f t="shared" si="53"/>
        <v>11436111.556410663</v>
      </c>
      <c r="AO145" s="52">
        <f t="shared" si="72"/>
        <v>351845.12310186599</v>
      </c>
      <c r="AP145" s="38">
        <f t="shared" si="78"/>
        <v>-77482.01838462241</v>
      </c>
      <c r="AQ145" s="38">
        <f t="shared" si="77"/>
        <v>494380.10299331159</v>
      </c>
      <c r="AS145" s="2">
        <f t="shared" si="73"/>
        <v>548274.94849434844</v>
      </c>
      <c r="AT145" s="48">
        <f t="shared" si="74"/>
        <v>54381.811329264274</v>
      </c>
      <c r="AU145" s="48">
        <f t="shared" si="75"/>
        <v>602656.75982361275</v>
      </c>
      <c r="AV145" s="53">
        <f t="shared" si="55"/>
        <v>-108276.65683030116</v>
      </c>
      <c r="AW145" s="53">
        <f t="shared" si="79"/>
        <v>-510456.18879838684</v>
      </c>
      <c r="AX145" s="54" t="str">
        <f t="shared" si="56"/>
        <v/>
      </c>
      <c r="AY145" s="62">
        <f t="shared" si="80"/>
        <v>-25109418.814498436</v>
      </c>
      <c r="AZ145" s="48">
        <f t="shared" si="57"/>
        <v>-25109418.814498436</v>
      </c>
    </row>
    <row r="146" spans="1:52" s="47" customFormat="1" x14ac:dyDescent="0.3">
      <c r="A146" s="2">
        <f t="shared" si="58"/>
        <v>142873.30883827241</v>
      </c>
      <c r="B146">
        <f t="shared" si="59"/>
        <v>51844.44113220631</v>
      </c>
      <c r="C146">
        <f t="shared" si="35"/>
        <v>11231.527321368321</v>
      </c>
      <c r="D146">
        <f t="shared" si="36"/>
        <v>107829.56337719203</v>
      </c>
      <c r="E146">
        <f t="shared" si="31"/>
        <v>10782956.337719202</v>
      </c>
      <c r="F146">
        <f t="shared" si="76"/>
        <v>27</v>
      </c>
      <c r="G146">
        <f t="shared" si="37"/>
        <v>1</v>
      </c>
      <c r="H146">
        <f t="shared" si="38"/>
        <v>22746914.814640488</v>
      </c>
      <c r="I146">
        <f t="shared" si="39"/>
        <v>0</v>
      </c>
      <c r="J146">
        <f t="shared" si="60"/>
        <v>0</v>
      </c>
      <c r="K146" s="47">
        <f t="shared" si="40"/>
        <v>0</v>
      </c>
      <c r="L146" s="47">
        <f t="shared" si="41"/>
        <v>107090.68758384822</v>
      </c>
      <c r="M146" s="47">
        <f t="shared" si="61"/>
        <v>0</v>
      </c>
      <c r="N146" s="47">
        <f t="shared" si="42"/>
        <v>0</v>
      </c>
      <c r="O146" s="47">
        <f t="shared" si="62"/>
        <v>0</v>
      </c>
      <c r="P146" s="47">
        <f t="shared" si="63"/>
        <v>882911.36249279662</v>
      </c>
      <c r="Q146" s="47">
        <f t="shared" si="43"/>
        <v>488199.04262380605</v>
      </c>
      <c r="R146" s="47">
        <f t="shared" si="44"/>
        <v>1</v>
      </c>
      <c r="S146" s="47">
        <f t="shared" si="45"/>
        <v>0</v>
      </c>
      <c r="T146" s="47">
        <f t="shared" si="46"/>
        <v>488199.04262380605</v>
      </c>
      <c r="U146" s="47">
        <f t="shared" si="47"/>
        <v>188280.65253804097</v>
      </c>
      <c r="V146" s="48">
        <f t="shared" si="48"/>
        <v>556887.68508821854</v>
      </c>
      <c r="X146" s="49">
        <f t="shared" si="64"/>
        <v>30</v>
      </c>
      <c r="Y146" s="50">
        <f t="shared" si="65"/>
        <v>47</v>
      </c>
      <c r="Z146" s="51">
        <f t="shared" si="82"/>
        <v>94</v>
      </c>
      <c r="AA146" s="51">
        <f t="shared" si="83"/>
        <v>88</v>
      </c>
      <c r="AB146" s="47">
        <f t="shared" si="68"/>
        <v>2048</v>
      </c>
      <c r="AD146" s="48">
        <f t="shared" si="33"/>
        <v>3360.268722940164</v>
      </c>
      <c r="AE146" s="48">
        <f t="shared" si="49"/>
        <v>1479.2488351282102</v>
      </c>
      <c r="AF146" s="48">
        <f t="shared" si="69"/>
        <v>2995.994302892072</v>
      </c>
      <c r="AG146" s="48">
        <f t="shared" si="50"/>
        <v>22680364.014982466</v>
      </c>
      <c r="AH146" s="48">
        <f t="shared" si="51"/>
        <v>0</v>
      </c>
      <c r="AI146" s="48">
        <f t="shared" si="70"/>
        <v>23170873.091372471</v>
      </c>
      <c r="AK146" s="52">
        <f t="shared" si="71"/>
        <v>7710570.8421185641</v>
      </c>
      <c r="AL146" s="26" t="str">
        <f t="shared" si="34"/>
        <v/>
      </c>
      <c r="AM146" s="63">
        <f t="shared" si="81"/>
        <v>5705474.319334574</v>
      </c>
      <c r="AN146" s="38">
        <f t="shared" si="53"/>
        <v>11760226.618704809</v>
      </c>
      <c r="AO146" s="52">
        <f t="shared" si="72"/>
        <v>342328.45916007442</v>
      </c>
      <c r="AP146" s="38">
        <f t="shared" si="78"/>
        <v>-583041.19866240025</v>
      </c>
      <c r="AQ146" s="38">
        <f t="shared" si="77"/>
        <v>488199.04262380605</v>
      </c>
      <c r="AS146" s="2">
        <f t="shared" si="73"/>
        <v>564723.19694917894</v>
      </c>
      <c r="AT146" s="48">
        <f t="shared" si="74"/>
        <v>53701.894688618668</v>
      </c>
      <c r="AU146" s="48">
        <f t="shared" si="75"/>
        <v>618425.09163779765</v>
      </c>
      <c r="AV146" s="53">
        <f t="shared" si="55"/>
        <v>-130226.04901399161</v>
      </c>
      <c r="AW146" s="53">
        <f t="shared" si="79"/>
        <v>-524398.94930627232</v>
      </c>
      <c r="AX146" s="54" t="str">
        <f t="shared" si="56"/>
        <v/>
      </c>
      <c r="AY146" s="62">
        <f t="shared" si="80"/>
        <v>-27140382.892674614</v>
      </c>
      <c r="AZ146" s="48">
        <f t="shared" si="57"/>
        <v>-27140382.892674614</v>
      </c>
    </row>
    <row r="147" spans="1:52" s="47" customFormat="1" x14ac:dyDescent="0.3">
      <c r="A147" s="2">
        <f t="shared" si="58"/>
        <v>147159.50810342058</v>
      </c>
      <c r="B147">
        <f t="shared" si="59"/>
        <v>53399.774366172504</v>
      </c>
      <c r="C147">
        <f t="shared" si="35"/>
        <v>11568.47314100937</v>
      </c>
      <c r="D147">
        <f t="shared" si="36"/>
        <v>111064.45027850778</v>
      </c>
      <c r="E147">
        <f t="shared" si="31"/>
        <v>11106445.027850777</v>
      </c>
      <c r="F147">
        <f t="shared" si="76"/>
        <v>28</v>
      </c>
      <c r="G147">
        <f t="shared" si="37"/>
        <v>1</v>
      </c>
      <c r="H147">
        <f t="shared" si="38"/>
        <v>24111729.703518923</v>
      </c>
      <c r="I147">
        <f t="shared" si="39"/>
        <v>0</v>
      </c>
      <c r="J147">
        <f t="shared" si="60"/>
        <v>0</v>
      </c>
      <c r="K147" s="47">
        <f t="shared" si="40"/>
        <v>0</v>
      </c>
      <c r="L147" s="47">
        <f t="shared" si="41"/>
        <v>110303.40821136368</v>
      </c>
      <c r="M147" s="47">
        <f t="shared" si="61"/>
        <v>0</v>
      </c>
      <c r="N147" s="47">
        <f t="shared" si="42"/>
        <v>0</v>
      </c>
      <c r="O147" s="47">
        <f t="shared" si="62"/>
        <v>0</v>
      </c>
      <c r="P147" s="47">
        <f t="shared" si="63"/>
        <v>909398.70336758054</v>
      </c>
      <c r="Q147" s="47">
        <f t="shared" si="43"/>
        <v>480691.8640671646</v>
      </c>
      <c r="R147" s="47">
        <f t="shared" si="44"/>
        <v>1</v>
      </c>
      <c r="S147" s="47">
        <f t="shared" si="45"/>
        <v>0</v>
      </c>
      <c r="T147" s="47">
        <f t="shared" si="46"/>
        <v>480691.8640671646</v>
      </c>
      <c r="U147" s="47">
        <f t="shared" si="47"/>
        <v>182272.32636321645</v>
      </c>
      <c r="V147" s="48">
        <f t="shared" si="48"/>
        <v>573674.23786184692</v>
      </c>
      <c r="X147" s="49">
        <f t="shared" si="64"/>
        <v>31</v>
      </c>
      <c r="Y147" s="50">
        <f t="shared" si="65"/>
        <v>48</v>
      </c>
      <c r="Z147" s="51">
        <f t="shared" si="82"/>
        <v>95</v>
      </c>
      <c r="AA147" s="51">
        <f t="shared" si="83"/>
        <v>89</v>
      </c>
      <c r="AB147" s="47">
        <f t="shared" si="68"/>
        <v>2049</v>
      </c>
      <c r="AD147" s="48">
        <f t="shared" si="33"/>
        <v>3426.8020436543784</v>
      </c>
      <c r="AE147" s="48">
        <f t="shared" si="49"/>
        <v>1508.5379620637486</v>
      </c>
      <c r="AF147" s="48">
        <f t="shared" si="69"/>
        <v>3055.314990089335</v>
      </c>
      <c r="AG147" s="48">
        <f t="shared" si="50"/>
        <v>24041185.855881415</v>
      </c>
      <c r="AH147" s="48">
        <f t="shared" si="51"/>
        <v>0</v>
      </c>
      <c r="AI147" s="48">
        <f t="shared" si="70"/>
        <v>24561125.47685482</v>
      </c>
      <c r="AK147" s="52">
        <f t="shared" si="71"/>
        <v>8173205.0926456787</v>
      </c>
      <c r="AL147" s="26" t="str">
        <f t="shared" si="34"/>
        <v/>
      </c>
      <c r="AM147" s="63">
        <f t="shared" si="81"/>
        <v>5523403.8291883767</v>
      </c>
      <c r="AN147" s="38">
        <f t="shared" si="53"/>
        <v>12093914.407275086</v>
      </c>
      <c r="AO147" s="52">
        <f t="shared" si="72"/>
        <v>331404.22975130257</v>
      </c>
      <c r="AP147" s="38">
        <f t="shared" si="78"/>
        <v>-1123483.4577019745</v>
      </c>
      <c r="AQ147" s="38">
        <f t="shared" si="77"/>
        <v>480691.8640671646</v>
      </c>
      <c r="AS147" s="2">
        <f t="shared" si="73"/>
        <v>581664.89285765437</v>
      </c>
      <c r="AT147" s="48">
        <f t="shared" si="74"/>
        <v>52876.105047388104</v>
      </c>
      <c r="AU147" s="48">
        <f t="shared" si="75"/>
        <v>634540.99790504249</v>
      </c>
      <c r="AV147" s="53">
        <f t="shared" si="55"/>
        <v>-153849.13383787789</v>
      </c>
      <c r="AW147" s="53">
        <f t="shared" si="79"/>
        <v>-538653.1379553529</v>
      </c>
      <c r="AX147" s="54" t="str">
        <f t="shared" si="56"/>
        <v/>
      </c>
      <c r="AY147" s="62">
        <f t="shared" si="80"/>
        <v>-29307459.004190445</v>
      </c>
      <c r="AZ147" s="48">
        <f t="shared" si="57"/>
        <v>-29307459.004190445</v>
      </c>
    </row>
    <row r="148" spans="1:52" x14ac:dyDescent="0.3">
      <c r="A148" s="2">
        <f t="shared" si="58"/>
        <v>151574.29334652319</v>
      </c>
      <c r="B148">
        <f t="shared" si="59"/>
        <v>55001.767597157683</v>
      </c>
      <c r="C148">
        <f t="shared" si="35"/>
        <v>11915.527335239653</v>
      </c>
      <c r="D148">
        <f t="shared" si="36"/>
        <v>114396.38378686302</v>
      </c>
      <c r="E148">
        <f t="shared" si="31"/>
        <v>11439638.378686301</v>
      </c>
      <c r="F148">
        <f t="shared" si="76"/>
        <v>29</v>
      </c>
      <c r="G148">
        <f t="shared" si="37"/>
        <v>1</v>
      </c>
      <c r="H148">
        <f t="shared" si="38"/>
        <v>25558433.485730059</v>
      </c>
      <c r="I148">
        <f t="shared" si="39"/>
        <v>0</v>
      </c>
      <c r="J148">
        <f t="shared" si="60"/>
        <v>0</v>
      </c>
      <c r="K148">
        <f t="shared" si="40"/>
        <v>0</v>
      </c>
      <c r="L148">
        <f t="shared" si="41"/>
        <v>113612.51045770459</v>
      </c>
      <c r="M148">
        <f t="shared" si="61"/>
        <v>0</v>
      </c>
      <c r="N148">
        <f t="shared" si="42"/>
        <v>0</v>
      </c>
      <c r="O148">
        <f t="shared" si="62"/>
        <v>0</v>
      </c>
      <c r="P148">
        <f t="shared" si="63"/>
        <v>936680.66446860798</v>
      </c>
      <c r="Q148">
        <f t="shared" si="43"/>
        <v>471757.50243291032</v>
      </c>
      <c r="R148">
        <f t="shared" si="44"/>
        <v>1</v>
      </c>
      <c r="S148">
        <f t="shared" si="45"/>
        <v>0</v>
      </c>
      <c r="T148">
        <f t="shared" si="46"/>
        <v>471757.50243291032</v>
      </c>
      <c r="U148">
        <f t="shared" si="47"/>
        <v>175433.11239248258</v>
      </c>
      <c r="V148" s="2">
        <f t="shared" si="48"/>
        <v>590965.96967865957</v>
      </c>
      <c r="X148" s="39">
        <f t="shared" si="64"/>
        <v>32</v>
      </c>
      <c r="Y148" s="42">
        <f t="shared" si="65"/>
        <v>49</v>
      </c>
      <c r="Z148" s="40">
        <f t="shared" si="82"/>
        <v>96</v>
      </c>
      <c r="AA148" s="40">
        <f t="shared" si="83"/>
        <v>90</v>
      </c>
      <c r="AB148" s="41">
        <f t="shared" si="68"/>
        <v>2050</v>
      </c>
      <c r="AD148" s="2">
        <f t="shared" si="33"/>
        <v>3494.6527241187355</v>
      </c>
      <c r="AE148" s="2">
        <f t="shared" si="49"/>
        <v>1538.4070137126112</v>
      </c>
      <c r="AF148" s="2">
        <f t="shared" si="69"/>
        <v>3115.8102268931034</v>
      </c>
      <c r="AG148" s="2">
        <f t="shared" si="50"/>
        <v>25483657.007234301</v>
      </c>
      <c r="AH148" s="2">
        <f t="shared" si="51"/>
        <v>0</v>
      </c>
      <c r="AI148" s="2">
        <f t="shared" si="70"/>
        <v>26034793.005466111</v>
      </c>
      <c r="AK148" s="38">
        <f t="shared" si="71"/>
        <v>8663597.3982044198</v>
      </c>
      <c r="AL148" s="26" t="str">
        <f t="shared" si="34"/>
        <v/>
      </c>
      <c r="AM148" s="63">
        <f t="shared" si="81"/>
        <v>5316154.9209843203</v>
      </c>
      <c r="AN148" s="38">
        <f t="shared" si="53"/>
        <v>12437459.843025895</v>
      </c>
      <c r="AO148" s="38">
        <f t="shared" si="72"/>
        <v>318969.29525905923</v>
      </c>
      <c r="AP148" s="38">
        <f t="shared" si="78"/>
        <v>-1700925.0391378207</v>
      </c>
      <c r="AQ148" s="38">
        <f t="shared" si="77"/>
        <v>471757.50243291032</v>
      </c>
      <c r="AS148" s="2">
        <f t="shared" si="73"/>
        <v>599114.83964338398</v>
      </c>
      <c r="AT148" s="2">
        <f t="shared" si="74"/>
        <v>51893.325267620137</v>
      </c>
      <c r="AU148" s="2">
        <f t="shared" si="75"/>
        <v>651008.16491100413</v>
      </c>
      <c r="AV148" s="22">
        <f t="shared" si="55"/>
        <v>-179250.66247809381</v>
      </c>
      <c r="AW148" s="22">
        <f t="shared" si="79"/>
        <v>-553221.72533431067</v>
      </c>
      <c r="AX148" s="45" t="str">
        <f t="shared" si="56"/>
        <v/>
      </c>
      <c r="AY148" s="58">
        <f t="shared" si="80"/>
        <v>-31619128.26977618</v>
      </c>
      <c r="AZ148" s="2">
        <f t="shared" si="57"/>
        <v>-31619128.26977618</v>
      </c>
    </row>
    <row r="149" spans="1:52" x14ac:dyDescent="0.3">
      <c r="A149" s="2">
        <f t="shared" si="58"/>
        <v>156121.52214691887</v>
      </c>
      <c r="B149">
        <f t="shared" si="59"/>
        <v>56651.820625072403</v>
      </c>
      <c r="C149">
        <f t="shared" si="35"/>
        <v>12272.993155296841</v>
      </c>
      <c r="D149">
        <f t="shared" si="36"/>
        <v>117828.2753004689</v>
      </c>
      <c r="E149">
        <f t="shared" si="31"/>
        <v>11782827.53004689</v>
      </c>
      <c r="F149">
        <f t="shared" si="76"/>
        <v>30</v>
      </c>
      <c r="G149">
        <f t="shared" si="37"/>
        <v>1</v>
      </c>
      <c r="H149">
        <f t="shared" si="38"/>
        <v>27091939.494873863</v>
      </c>
      <c r="I149">
        <f t="shared" si="39"/>
        <v>0</v>
      </c>
      <c r="J149">
        <f t="shared" si="60"/>
        <v>0</v>
      </c>
      <c r="K149">
        <f t="shared" si="40"/>
        <v>0</v>
      </c>
      <c r="L149">
        <f t="shared" si="41"/>
        <v>117020.88577143571</v>
      </c>
      <c r="M149">
        <f t="shared" si="61"/>
        <v>0</v>
      </c>
      <c r="N149">
        <f t="shared" si="42"/>
        <v>0</v>
      </c>
      <c r="O149">
        <f t="shared" si="62"/>
        <v>0</v>
      </c>
      <c r="P149">
        <f t="shared" si="63"/>
        <v>964781.08440266619</v>
      </c>
      <c r="Q149">
        <f t="shared" si="43"/>
        <v>461288.58115992916</v>
      </c>
      <c r="R149">
        <f t="shared" si="44"/>
        <v>1</v>
      </c>
      <c r="S149">
        <f t="shared" si="45"/>
        <v>0</v>
      </c>
      <c r="T149">
        <f t="shared" si="46"/>
        <v>461288.58115992916</v>
      </c>
      <c r="U149">
        <f t="shared" si="47"/>
        <v>167702.7821999997</v>
      </c>
      <c r="V149" s="2">
        <f t="shared" si="48"/>
        <v>608778.06724265951</v>
      </c>
      <c r="X149" s="39">
        <f t="shared" si="64"/>
        <v>33</v>
      </c>
      <c r="Y149" s="42">
        <f t="shared" si="65"/>
        <v>50</v>
      </c>
      <c r="Z149" s="40">
        <f t="shared" si="82"/>
        <v>97</v>
      </c>
      <c r="AA149" s="40">
        <f t="shared" si="83"/>
        <v>91</v>
      </c>
      <c r="AB149" s="41">
        <f t="shared" si="68"/>
        <v>2051</v>
      </c>
      <c r="AD149" s="2">
        <f t="shared" si="33"/>
        <v>3563.8468480562865</v>
      </c>
      <c r="AE149" s="2">
        <f t="shared" si="49"/>
        <v>1568.8674725841206</v>
      </c>
      <c r="AF149" s="2">
        <f t="shared" si="69"/>
        <v>3177.5032693855869</v>
      </c>
      <c r="AG149" s="2">
        <f t="shared" si="50"/>
        <v>27012676.427668359</v>
      </c>
      <c r="AH149" s="2">
        <f t="shared" si="51"/>
        <v>0</v>
      </c>
      <c r="AI149" s="2">
        <f t="shared" si="70"/>
        <v>27596880.58579408</v>
      </c>
      <c r="AK149" s="38">
        <f t="shared" si="71"/>
        <v>9183413.2420966849</v>
      </c>
      <c r="AL149" s="26" t="str">
        <f t="shared" si="34"/>
        <v/>
      </c>
      <c r="AM149" s="63">
        <f t="shared" si="81"/>
        <v>5081902.490909081</v>
      </c>
      <c r="AN149" s="38">
        <f t="shared" si="53"/>
        <v>12791156.360575495</v>
      </c>
      <c r="AO149" s="38">
        <f t="shared" si="72"/>
        <v>304914.14945454482</v>
      </c>
      <c r="AP149" s="38">
        <f t="shared" si="78"/>
        <v>-2317603.1332646348</v>
      </c>
      <c r="AQ149" s="38">
        <f t="shared" si="77"/>
        <v>461288.58115992916</v>
      </c>
      <c r="AS149" s="2">
        <f t="shared" si="73"/>
        <v>617088.28483268549</v>
      </c>
      <c r="AT149" s="2">
        <f t="shared" si="74"/>
        <v>50741.743927592208</v>
      </c>
      <c r="AU149" s="2">
        <f t="shared" si="75"/>
        <v>667830.02876027767</v>
      </c>
      <c r="AV149" s="22">
        <f t="shared" si="55"/>
        <v>-206541.4476003485</v>
      </c>
      <c r="AW149" s="22">
        <f t="shared" si="79"/>
        <v>-568107.41767996573</v>
      </c>
      <c r="AX149" s="45" t="str">
        <f t="shared" si="56"/>
        <v/>
      </c>
      <c r="AY149" s="58">
        <f t="shared" si="80"/>
        <v>-34084383.383642718</v>
      </c>
      <c r="AZ149" s="2">
        <f t="shared" si="57"/>
        <v>-34084383.383642718</v>
      </c>
    </row>
    <row r="150" spans="1:52" x14ac:dyDescent="0.3">
      <c r="A150" s="2">
        <f t="shared" si="58"/>
        <v>160805.16781132642</v>
      </c>
      <c r="B150">
        <f t="shared" si="59"/>
        <v>58351.375243824579</v>
      </c>
      <c r="C150">
        <f t="shared" si="35"/>
        <v>12641.182949955746</v>
      </c>
      <c r="D150">
        <f t="shared" si="36"/>
        <v>121363.12355948296</v>
      </c>
      <c r="E150">
        <f t="shared" si="31"/>
        <v>12136312.355948295</v>
      </c>
      <c r="F150">
        <f t="shared" si="76"/>
        <v>31</v>
      </c>
      <c r="G150">
        <f t="shared" si="37"/>
        <v>1</v>
      </c>
      <c r="H150">
        <f t="shared" si="38"/>
        <v>28717455.864566296</v>
      </c>
      <c r="I150">
        <f t="shared" si="39"/>
        <v>0</v>
      </c>
      <c r="J150">
        <f t="shared" si="60"/>
        <v>0</v>
      </c>
      <c r="K150">
        <f t="shared" si="40"/>
        <v>0</v>
      </c>
      <c r="L150">
        <f t="shared" si="41"/>
        <v>120531.51234457878</v>
      </c>
      <c r="M150">
        <f t="shared" si="61"/>
        <v>0</v>
      </c>
      <c r="N150">
        <f t="shared" si="42"/>
        <v>0</v>
      </c>
      <c r="O150">
        <f>IF(OR(AM149-AU149&lt;=0,O149=1),1,0)</f>
        <v>0</v>
      </c>
      <c r="P150">
        <f t="shared" si="63"/>
        <v>993724.51693474618</v>
      </c>
      <c r="Q150">
        <f t="shared" si="43"/>
        <v>449171.04738454579</v>
      </c>
      <c r="R150">
        <f t="shared" si="44"/>
        <v>1</v>
      </c>
      <c r="S150">
        <f t="shared" si="45"/>
        <v>0</v>
      </c>
      <c r="T150">
        <f t="shared" si="46"/>
        <v>449171.04738454579</v>
      </c>
      <c r="U150">
        <f t="shared" si="47"/>
        <v>159017.40434856058</v>
      </c>
      <c r="V150" s="2">
        <f t="shared" si="48"/>
        <v>627126.1734793575</v>
      </c>
      <c r="X150" s="39">
        <f t="shared" si="64"/>
        <v>34</v>
      </c>
      <c r="Y150" s="42">
        <f t="shared" si="65"/>
        <v>51</v>
      </c>
      <c r="Z150" s="40">
        <f t="shared" si="82"/>
        <v>98</v>
      </c>
      <c r="AA150" s="40">
        <f t="shared" si="83"/>
        <v>92</v>
      </c>
      <c r="AB150" s="41">
        <f t="shared" si="68"/>
        <v>2052</v>
      </c>
      <c r="AD150" s="2">
        <f t="shared" si="33"/>
        <v>3634.4110156478009</v>
      </c>
      <c r="AE150" s="2">
        <f t="shared" si="49"/>
        <v>1599.9310485412859</v>
      </c>
      <c r="AF150" s="2">
        <f t="shared" si="69"/>
        <v>3240.4178341194215</v>
      </c>
      <c r="AG150" s="2">
        <f t="shared" si="50"/>
        <v>28633437.013328463</v>
      </c>
      <c r="AH150" s="2">
        <f t="shared" si="51"/>
        <v>0</v>
      </c>
      <c r="AI150" s="2">
        <f t="shared" si="70"/>
        <v>29252693.420941725</v>
      </c>
      <c r="AK150" s="38">
        <f t="shared" si="71"/>
        <v>9734418.036622487</v>
      </c>
      <c r="AL150" s="26" t="str">
        <f t="shared" si="34"/>
        <v/>
      </c>
      <c r="AM150" s="63">
        <f t="shared" si="81"/>
        <v>4818709.2226836532</v>
      </c>
      <c r="AN150" s="38">
        <f t="shared" si="53"/>
        <v>13155306.163158748</v>
      </c>
      <c r="AO150" s="38">
        <f t="shared" si="72"/>
        <v>289122.55336101918</v>
      </c>
      <c r="AP150" s="38">
        <f t="shared" si="78"/>
        <v>-2975882.5803923383</v>
      </c>
      <c r="AQ150" s="38">
        <f t="shared" si="77"/>
        <v>449171.04738454579</v>
      </c>
      <c r="AS150" s="2">
        <f t="shared" si="73"/>
        <v>635600.93337766605</v>
      </c>
      <c r="AT150" s="2">
        <f t="shared" si="74"/>
        <v>49408.81521230004</v>
      </c>
      <c r="AU150" s="2">
        <f t="shared" si="75"/>
        <v>685009.7485899661</v>
      </c>
      <c r="AV150" s="22">
        <f t="shared" si="55"/>
        <v>-235838.70120542031</v>
      </c>
      <c r="AW150" s="22">
        <f t="shared" si="79"/>
        <v>-583312.62981026398</v>
      </c>
      <c r="AX150" s="45" t="str">
        <f t="shared" si="56"/>
        <v/>
      </c>
      <c r="AY150" s="58">
        <f t="shared" si="80"/>
        <v>-36712759.01647155</v>
      </c>
      <c r="AZ150" s="2">
        <f t="shared" si="57"/>
        <v>-36712759.01647155</v>
      </c>
    </row>
    <row r="151" spans="1:52" x14ac:dyDescent="0.3">
      <c r="A151" s="2">
        <f t="shared" si="58"/>
        <v>165629.32284566626</v>
      </c>
      <c r="B151">
        <f t="shared" si="59"/>
        <v>60101.916501139305</v>
      </c>
      <c r="C151">
        <f t="shared" si="35"/>
        <v>13020.418438454421</v>
      </c>
      <c r="D151">
        <f t="shared" si="36"/>
        <v>125004.01726626746</v>
      </c>
      <c r="E151">
        <f t="shared" si="31"/>
        <v>12500401.726626746</v>
      </c>
      <c r="F151">
        <f t="shared" si="76"/>
        <v>32</v>
      </c>
      <c r="G151">
        <f t="shared" si="37"/>
        <v>1</v>
      </c>
      <c r="H151">
        <f t="shared" si="38"/>
        <v>30440503.216440283</v>
      </c>
      <c r="I151">
        <f t="shared" si="39"/>
        <v>0</v>
      </c>
      <c r="J151">
        <f t="shared" si="60"/>
        <v>0</v>
      </c>
      <c r="K151">
        <f t="shared" si="40"/>
        <v>0</v>
      </c>
      <c r="L151">
        <f t="shared" si="41"/>
        <v>124147.45771491616</v>
      </c>
      <c r="M151">
        <f t="shared" si="61"/>
        <v>0</v>
      </c>
      <c r="N151">
        <f t="shared" si="42"/>
        <v>0</v>
      </c>
      <c r="O151">
        <f t="shared" si="62"/>
        <v>0</v>
      </c>
      <c r="P151">
        <f t="shared" si="63"/>
        <v>1023536.2524427886</v>
      </c>
      <c r="Q151">
        <f t="shared" si="43"/>
        <v>435283.78700674349</v>
      </c>
      <c r="R151">
        <f t="shared" si="44"/>
        <v>1</v>
      </c>
      <c r="S151">
        <f t="shared" si="45"/>
        <v>0</v>
      </c>
      <c r="T151">
        <f t="shared" si="46"/>
        <v>435283.78700674349</v>
      </c>
      <c r="U151">
        <f t="shared" si="47"/>
        <v>149309.13182573524</v>
      </c>
      <c r="V151" s="2">
        <f t="shared" si="48"/>
        <v>646026.40123470104</v>
      </c>
      <c r="X151" s="39">
        <f t="shared" si="64"/>
        <v>35</v>
      </c>
      <c r="Y151" s="42">
        <f t="shared" si="65"/>
        <v>52</v>
      </c>
      <c r="Z151" s="40">
        <f t="shared" ref="Z151:Z153" si="84">Z150+1</f>
        <v>99</v>
      </c>
      <c r="AA151" s="40">
        <f t="shared" ref="AA151:AA153" si="85">AA150+1</f>
        <v>93</v>
      </c>
      <c r="AB151" s="41">
        <f t="shared" si="68"/>
        <v>2053</v>
      </c>
      <c r="AD151" s="2">
        <f t="shared" si="33"/>
        <v>3706.3723537576275</v>
      </c>
      <c r="AE151" s="2">
        <f t="shared" si="49"/>
        <v>1631.6096833024035</v>
      </c>
      <c r="AF151" s="2">
        <f t="shared" si="69"/>
        <v>3304.578107234986</v>
      </c>
      <c r="AG151" s="2">
        <f t="shared" si="50"/>
        <v>30351443.234128173</v>
      </c>
      <c r="AH151" s="2">
        <f t="shared" si="51"/>
        <v>0</v>
      </c>
      <c r="AI151" s="2">
        <f t="shared" si="70"/>
        <v>31007855.026198231</v>
      </c>
      <c r="AK151" s="38">
        <f t="shared" si="71"/>
        <v>10318483.118819837</v>
      </c>
      <c r="AL151" s="26" t="str">
        <f t="shared" si="34"/>
        <v/>
      </c>
      <c r="AM151" s="63">
        <f t="shared" si="81"/>
        <v>4524519.1462344006</v>
      </c>
      <c r="AN151" s="38">
        <f t="shared" si="53"/>
        <v>13530220.485169275</v>
      </c>
      <c r="AO151" s="38">
        <f t="shared" si="72"/>
        <v>271471.14877406403</v>
      </c>
      <c r="AP151" s="38">
        <f t="shared" si="78"/>
        <v>-3678262.9396352796</v>
      </c>
      <c r="AQ151" s="38">
        <f t="shared" si="77"/>
        <v>435283.78700674349</v>
      </c>
      <c r="AS151" s="2">
        <f t="shared" si="73"/>
        <v>654668.96137899603</v>
      </c>
      <c r="AT151" s="2">
        <f t="shared" si="74"/>
        <v>47881.216570741781</v>
      </c>
      <c r="AU151" s="2">
        <f t="shared" si="75"/>
        <v>702550.17794973776</v>
      </c>
      <c r="AV151" s="22">
        <f t="shared" si="55"/>
        <v>-267266.39094299427</v>
      </c>
      <c r="AW151" s="22">
        <f t="shared" si="79"/>
        <v>-598839.45621819759</v>
      </c>
      <c r="AX151" s="45" t="str">
        <f t="shared" si="56"/>
        <v/>
      </c>
      <c r="AY151" s="58">
        <f t="shared" si="80"/>
        <v>-39514364.013678044</v>
      </c>
      <c r="AZ151" s="2">
        <f t="shared" si="57"/>
        <v>-39514364.013678044</v>
      </c>
    </row>
    <row r="152" spans="1:52" x14ac:dyDescent="0.3">
      <c r="A152" s="2">
        <f t="shared" si="58"/>
        <v>170598.20253103619</v>
      </c>
      <c r="B152">
        <f t="shared" si="59"/>
        <v>61904.973996173496</v>
      </c>
      <c r="C152">
        <f t="shared" si="35"/>
        <v>13411.030991608051</v>
      </c>
      <c r="D152">
        <f t="shared" si="36"/>
        <v>128754.13778425546</v>
      </c>
      <c r="E152">
        <f t="shared" si="31"/>
        <v>12875413.778425546</v>
      </c>
      <c r="F152">
        <f t="shared" si="76"/>
        <v>33</v>
      </c>
      <c r="G152">
        <f t="shared" si="37"/>
        <v>1</v>
      </c>
      <c r="H152">
        <f t="shared" si="38"/>
        <v>32266933.409426693</v>
      </c>
      <c r="I152">
        <f t="shared" si="39"/>
        <v>0</v>
      </c>
      <c r="J152">
        <f t="shared" si="60"/>
        <v>0</v>
      </c>
      <c r="K152">
        <f t="shared" si="40"/>
        <v>0</v>
      </c>
      <c r="L152">
        <f t="shared" si="41"/>
        <v>127871.88144636362</v>
      </c>
      <c r="M152">
        <f t="shared" si="61"/>
        <v>0</v>
      </c>
      <c r="N152">
        <f t="shared" si="42"/>
        <v>0</v>
      </c>
      <c r="O152">
        <f t="shared" ref="O152" si="86">IF(OR(AM151-AU151&lt;=0,O151=1),1,0)</f>
        <v>0</v>
      </c>
      <c r="P152">
        <f t="shared" si="63"/>
        <v>1054242.3400160722</v>
      </c>
      <c r="Q152">
        <f t="shared" si="43"/>
        <v>419498.21834541485</v>
      </c>
      <c r="R152">
        <f t="shared" si="44"/>
        <v>1</v>
      </c>
      <c r="S152">
        <f t="shared" si="45"/>
        <v>0</v>
      </c>
      <c r="T152">
        <f t="shared" si="46"/>
        <v>419498.21834541485</v>
      </c>
      <c r="U152">
        <f t="shared" si="47"/>
        <v>138505.97768007923</v>
      </c>
      <c r="V152" s="2">
        <f t="shared" si="48"/>
        <v>665495.34738521383</v>
      </c>
      <c r="X152" s="39">
        <f t="shared" si="64"/>
        <v>36</v>
      </c>
      <c r="Y152" s="42">
        <f t="shared" si="65"/>
        <v>53</v>
      </c>
      <c r="Z152" s="40">
        <f t="shared" si="84"/>
        <v>100</v>
      </c>
      <c r="AA152" s="40">
        <f t="shared" si="85"/>
        <v>94</v>
      </c>
      <c r="AB152" s="41">
        <f t="shared" si="68"/>
        <v>2054</v>
      </c>
      <c r="AD152" s="2">
        <f t="shared" si="33"/>
        <v>3779.7585263620281</v>
      </c>
      <c r="AE152" s="2">
        <f t="shared" si="49"/>
        <v>1663.915555031791</v>
      </c>
      <c r="AF152" s="2">
        <f t="shared" si="69"/>
        <v>3370.0087537582385</v>
      </c>
      <c r="AG152" s="2">
        <f t="shared" si="50"/>
        <v>32172529.828175865</v>
      </c>
      <c r="AH152" s="2">
        <f t="shared" si="51"/>
        <v>0</v>
      </c>
      <c r="AI152" s="2">
        <f t="shared" si="70"/>
        <v>32868326.327770125</v>
      </c>
      <c r="AK152" s="38">
        <f t="shared" si="71"/>
        <v>10937592.105949027</v>
      </c>
      <c r="AL152" s="26" t="str">
        <f t="shared" si="34"/>
        <v/>
      </c>
      <c r="AM152" s="63">
        <f t="shared" si="81"/>
        <v>4197150.8387902789</v>
      </c>
      <c r="AN152" s="38">
        <f t="shared" si="53"/>
        <v>13916219.862570131</v>
      </c>
      <c r="AO152" s="38">
        <f t="shared" si="72"/>
        <v>251829.05032741671</v>
      </c>
      <c r="AP152" s="38">
        <f t="shared" si="78"/>
        <v>-4427385.9428771548</v>
      </c>
      <c r="AQ152" s="38">
        <f t="shared" si="77"/>
        <v>419498.21834541485</v>
      </c>
      <c r="AS152" s="2">
        <f t="shared" si="73"/>
        <v>674309.03022036585</v>
      </c>
      <c r="AT152" s="2">
        <f t="shared" si="74"/>
        <v>46144.804017995637</v>
      </c>
      <c r="AU152" s="2">
        <f t="shared" si="75"/>
        <v>720453.83423836145</v>
      </c>
      <c r="AV152" s="22">
        <f t="shared" si="55"/>
        <v>-300955.6158929466</v>
      </c>
      <c r="AW152" s="22">
        <f t="shared" si="79"/>
        <v>-614689.64021653682</v>
      </c>
      <c r="AX152" s="45" t="str">
        <f t="shared" si="56"/>
        <v/>
      </c>
      <c r="AY152" s="58">
        <f t="shared" si="80"/>
        <v>-42499915.494715266</v>
      </c>
      <c r="AZ152" s="2">
        <f t="shared" si="57"/>
        <v>-42499915.494715266</v>
      </c>
    </row>
    <row r="153" spans="1:52" x14ac:dyDescent="0.3">
      <c r="A153" s="2">
        <f t="shared" si="58"/>
        <v>175716.1486069673</v>
      </c>
      <c r="B153">
        <f t="shared" si="59"/>
        <v>63762.123216058695</v>
      </c>
      <c r="C153">
        <f t="shared" si="35"/>
        <v>13813.361921356291</v>
      </c>
      <c r="D153">
        <f t="shared" si="36"/>
        <v>132616.76191778312</v>
      </c>
      <c r="E153">
        <f t="shared" si="31"/>
        <v>13261676.191778313</v>
      </c>
      <c r="F153">
        <f t="shared" si="76"/>
        <v>34</v>
      </c>
      <c r="G153">
        <f t="shared" si="37"/>
        <v>1</v>
      </c>
      <c r="H153">
        <f t="shared" si="38"/>
        <v>34202949.413992293</v>
      </c>
      <c r="I153">
        <f t="shared" si="39"/>
        <v>0</v>
      </c>
      <c r="J153">
        <f t="shared" si="60"/>
        <v>0</v>
      </c>
      <c r="K153">
        <f t="shared" si="40"/>
        <v>0</v>
      </c>
      <c r="L153">
        <f t="shared" si="41"/>
        <v>131708.03788975455</v>
      </c>
      <c r="M153">
        <f t="shared" si="61"/>
        <v>0</v>
      </c>
      <c r="N153">
        <f t="shared" si="42"/>
        <v>0</v>
      </c>
      <c r="O153">
        <f>IF(OR(AM152-AU152&lt;=0,O152=1),1,0)</f>
        <v>0</v>
      </c>
      <c r="P153">
        <f t="shared" si="63"/>
        <v>1085869.6102165543</v>
      </c>
      <c r="Q153">
        <f t="shared" si="43"/>
        <v>401677.86321358505</v>
      </c>
      <c r="R153">
        <f t="shared" si="44"/>
        <v>1</v>
      </c>
      <c r="S153">
        <f t="shared" si="45"/>
        <v>0</v>
      </c>
      <c r="T153">
        <f t="shared" si="46"/>
        <v>401677.86321358505</v>
      </c>
      <c r="U153">
        <f t="shared" si="47"/>
        <v>126531.57821373823</v>
      </c>
      <c r="V153" s="2">
        <f t="shared" si="48"/>
        <v>685550.10737168882</v>
      </c>
      <c r="X153" s="39">
        <f t="shared" si="64"/>
        <v>37</v>
      </c>
      <c r="Y153" s="42">
        <f t="shared" si="65"/>
        <v>54</v>
      </c>
      <c r="Z153" s="40">
        <f t="shared" si="84"/>
        <v>101</v>
      </c>
      <c r="AA153" s="40">
        <f t="shared" si="85"/>
        <v>95</v>
      </c>
      <c r="AB153" s="41">
        <f t="shared" si="68"/>
        <v>2055</v>
      </c>
      <c r="AD153" s="2">
        <f t="shared" si="33"/>
        <v>3854.5977451839963</v>
      </c>
      <c r="AE153" s="2">
        <f t="shared" si="49"/>
        <v>1696.8610830214207</v>
      </c>
      <c r="AF153" s="2">
        <f t="shared" si="69"/>
        <v>3436.7349270826517</v>
      </c>
      <c r="AG153" s="2">
        <f t="shared" si="50"/>
        <v>34102881.617866419</v>
      </c>
      <c r="AH153" s="2">
        <f t="shared" si="51"/>
        <v>0</v>
      </c>
      <c r="AI153" s="2">
        <f t="shared" si="70"/>
        <v>34840425.907436334</v>
      </c>
      <c r="AK153" s="38">
        <f t="shared" si="71"/>
        <v>11593847.63230597</v>
      </c>
      <c r="AL153" s="26" t="str">
        <f t="shared" ref="AL153" si="87">AX153</f>
        <v/>
      </c>
      <c r="AM153" s="63">
        <f t="shared" si="81"/>
        <v>3834290.2489011586</v>
      </c>
      <c r="AN153" s="38">
        <f t="shared" si="53"/>
        <v>14313634.411408985</v>
      </c>
      <c r="AO153" s="38">
        <f t="shared" si="72"/>
        <v>230057.4149340695</v>
      </c>
      <c r="AP153" s="38">
        <f t="shared" si="78"/>
        <v>-5226043.3547134465</v>
      </c>
      <c r="AQ153" s="38">
        <f t="shared" si="77"/>
        <v>401677.86321358505</v>
      </c>
      <c r="AS153" s="2">
        <f t="shared" si="73"/>
        <v>694538.30112697685</v>
      </c>
      <c r="AT153" s="2">
        <f t="shared" si="74"/>
        <v>44184.564953494359</v>
      </c>
      <c r="AU153" s="2">
        <f t="shared" si="75"/>
        <v>738722.8660804712</v>
      </c>
      <c r="AV153" s="22">
        <f t="shared" si="55"/>
        <v>-337045.00286688615</v>
      </c>
      <c r="AW153" s="22">
        <f>(AU153-((AD153+AE153+AF153)*12))*-1</f>
        <v>-630864.5410170143</v>
      </c>
      <c r="AX153" s="45" t="str">
        <f t="shared" si="56"/>
        <v/>
      </c>
      <c r="AY153" s="58">
        <f t="shared" si="80"/>
        <v>-45680774.965415195</v>
      </c>
      <c r="AZ153" s="2">
        <f t="shared" si="57"/>
        <v>-45680774.965415195</v>
      </c>
    </row>
    <row r="154" spans="1:52" x14ac:dyDescent="0.3">
      <c r="A154" s="2">
        <f t="shared" ref="A154" si="88">IF(E154&gt;0,((C154+D154)*(1+$A$115))+U82,0)</f>
        <v>180987.63306517631</v>
      </c>
      <c r="B154">
        <f t="shared" ref="B154" si="89">IF(E154&gt;0,($B$113*((1+$Z$84)^X153))-($AA$26*12*-1),0)</f>
        <v>65674.986912540451</v>
      </c>
      <c r="C154">
        <f t="shared" ref="C154" si="90">D154*$E$112*12</f>
        <v>14227.762778996977</v>
      </c>
      <c r="D154">
        <f t="shared" ref="D154" si="91">IF(E154&gt;0,E154*0.01,0)</f>
        <v>136595.26477531661</v>
      </c>
      <c r="E154">
        <f t="shared" ref="E154" si="92">IF(F154&gt;0,SUM($I$117:$I$153)*((1+$Z$84)^(F154-1)),0)</f>
        <v>13659526.47753166</v>
      </c>
      <c r="F154">
        <f t="shared" ref="F154" si="93">IF(AND(I154&gt;0,I153=0),1, IF(F153&gt;0,F153+1,0))</f>
        <v>35</v>
      </c>
      <c r="G154">
        <f t="shared" si="37"/>
        <v>1</v>
      </c>
      <c r="H154">
        <f t="shared" si="38"/>
        <v>36255126.378831834</v>
      </c>
      <c r="I154">
        <f t="shared" ref="I154" si="94">IF(X153=$AC$111,$AC$113,0)</f>
        <v>0</v>
      </c>
      <c r="J154">
        <f t="shared" ref="J154" si="95">IF($J$117-($J$117/25*X153)&gt;0,$J$117-($J$117/25*X153),0)</f>
        <v>0</v>
      </c>
      <c r="K154">
        <f t="shared" ref="K154" si="96">IF(AND(M154&gt;0,M153=0),L154,0)</f>
        <v>0</v>
      </c>
      <c r="L154">
        <f t="shared" ref="L154" si="97">(($AL$46)*((1+$Z$84)^($AB$114+(X154-1))))</f>
        <v>44119.945351999995</v>
      </c>
      <c r="M154">
        <f t="shared" ref="M154" si="98">IF(M153&gt;0,M153*(1+$Z$67),N154)</f>
        <v>0</v>
      </c>
      <c r="N154">
        <f t="shared" ref="N154" si="99">IF(AND($AH$112="y",X154-1=$AH$111,N153=0),$AA$60*((1+$Z$84)^($AH$111)),P154*O154)</f>
        <v>0</v>
      </c>
      <c r="O154">
        <f>IF(OR(AM153-AU153&lt;=0,O153=1),1,0)</f>
        <v>0</v>
      </c>
      <c r="P154">
        <f t="shared" ref="P154" si="100">IF(O154=0,P153*(1+$Z$84),P153*(1+$Z$67))</f>
        <v>1118445.6985230509</v>
      </c>
      <c r="Q154">
        <f t="shared" ref="Q154" si="101">MAX(S154:U154)</f>
        <v>0</v>
      </c>
      <c r="R154">
        <f t="shared" ref="R154" si="102">IF(S154=0,1,0)</f>
        <v>1</v>
      </c>
    </row>
  </sheetData>
  <conditionalFormatting sqref="AB117:AB153">
    <cfRule type="expression" dxfId="5" priority="7">
      <formula>$AB117&lt;=2039</formula>
    </cfRule>
  </conditionalFormatting>
  <conditionalFormatting sqref="AA117:AA153">
    <cfRule type="expression" dxfId="4" priority="6">
      <formula>AB117&lt;=2039</formula>
    </cfRule>
  </conditionalFormatting>
  <conditionalFormatting sqref="Z117:Z153">
    <cfRule type="expression" dxfId="3" priority="5">
      <formula>AB117&lt;=2039</formula>
    </cfRule>
  </conditionalFormatting>
  <conditionalFormatting sqref="X117:X153">
    <cfRule type="expression" dxfId="2" priority="4">
      <formula>AB117&lt;=2039</formula>
    </cfRule>
  </conditionalFormatting>
  <conditionalFormatting sqref="Y117:Y152">
    <cfRule type="expression" dxfId="1" priority="3">
      <formula>AB117&lt;=2039</formula>
    </cfRule>
  </conditionalFormatting>
  <conditionalFormatting sqref="AM118:AM153">
    <cfRule type="expression" dxfId="0" priority="1">
      <formula>$AM118&lt;$AM117</formula>
    </cfRule>
  </conditionalFormatting>
  <pageMargins left="0.7" right="0.7" top="0.75" bottom="0.75" header="0.3" footer="0.3"/>
  <pageSetup orientation="portrait" r:id="rId1"/>
  <ignoredErrors>
    <ignoredError sqref="AB69:AI73 AH46 AF46 AE46 AG46 AI46 AC26:AG26 AE42:AG42 AB79 AC79:AJ79 AH26:AJ26 AH42:AI42 AJ42 AB54 AC54:AJ54 AI43 AP120" formula="1"/>
    <ignoredError sqref="AH1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pdsantos</dc:creator>
  <cp:lastModifiedBy>pdsantos</cp:lastModifiedBy>
  <dcterms:created xsi:type="dcterms:W3CDTF">2012-01-20T15:05:03Z</dcterms:created>
  <dcterms:modified xsi:type="dcterms:W3CDTF">2014-05-29T19:15:49Z</dcterms:modified>
</cp:coreProperties>
</file>